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showInkAnnotation="0" codeName="ThisWorkbook" defaultThemeVersion="124226"/>
  <bookViews>
    <workbookView xWindow="120" yWindow="165" windowWidth="21315" windowHeight="8160" tabRatio="566"/>
  </bookViews>
  <sheets>
    <sheet name="Lista de tareas" sheetId="10" r:id="rId1"/>
    <sheet name="Resumen consumos y usos" sheetId="6" r:id="rId2"/>
    <sheet name="Medidas EE" sheetId="29" r:id="rId3"/>
    <sheet name="Recambio luminarias" sheetId="7" r:id="rId4"/>
    <sheet name="Electricidad" sheetId="15" r:id="rId5"/>
    <sheet name="Gas Natural  " sheetId="2" r:id="rId6"/>
    <sheet name="Gas Licuado " sheetId="3" r:id="rId7"/>
    <sheet name="Diesel " sheetId="4" r:id="rId8"/>
    <sheet name="Gráficos consumos" sheetId="18" r:id="rId9"/>
    <sheet name="Usos Electricidad" sheetId="16" r:id="rId10"/>
    <sheet name="Usos Gas Natural" sheetId="24" r:id="rId11"/>
    <sheet name="Usos Gas Licuado" sheetId="25" r:id="rId12"/>
    <sheet name="Usos Diesel" sheetId="26" r:id="rId13"/>
    <sheet name="Resumen usos" sheetId="27" r:id="rId14"/>
    <sheet name="Gráficos usos" sheetId="23" r:id="rId15"/>
    <sheet name="Curva Electricidad" sheetId="17" r:id="rId16"/>
    <sheet name="Listas" sheetId="13" r:id="rId17"/>
    <sheet name="Pendientes" sheetId="14" state="hidden" r:id="rId18"/>
    <sheet name="Hoja3" sheetId="30" state="hidden" r:id="rId19"/>
  </sheets>
  <definedNames>
    <definedName name="_xlnm._FilterDatabase" localSheetId="2" hidden="1">'Medidas EE'!$A$14:$R$95</definedName>
    <definedName name="AGRICULTURA_Y_PESCA">Listas!$U$2:$U$6</definedName>
    <definedName name="ALIMENTOS_Y_BEBIDAS">Listas!$U$7:$U$13</definedName>
    <definedName name="_xlnm.Extract" localSheetId="3">'Recambio luminarias'!$G$6:$J$6</definedName>
    <definedName name="COMERCIO">Listas!$U$14:$U$15</definedName>
    <definedName name="Consumo">OFFSET('Resumen usos'!$B$62,0,0,COUNT('Resumen usos'!$B$62:$B$81),1)</definedName>
    <definedName name="Consumo_Agregado">OFFSET('Resumen usos'!$E$62,0,0,COUNT('Resumen usos'!$E$62:$E$81),1)</definedName>
    <definedName name="Costo">OFFSET('Resumen usos'!$G$62,0,0,COUNT('Resumen usos'!$G$62:$G$81),1)</definedName>
    <definedName name="Costo_Agregado">OFFSET('Resumen usos'!$J$62,0,0,COUNT('Resumen usos'!$J$62:$J$81),1)</definedName>
    <definedName name="_xlnm.Criteria" localSheetId="3">'Recambio luminarias'!$AN$5</definedName>
    <definedName name="MADERA_CELULOSA_Y_SUBPRODUCTOS">Listas!$U$16:$U$18</definedName>
    <definedName name="MANUFACTORA_OTROS">Listas!$U$22:$U$23</definedName>
    <definedName name="MINERAL_METALICA_Y_NO_METALICA">Listas!$U$19:$U$21</definedName>
    <definedName name="OTRO_SECTOR">Listas!$U$33</definedName>
    <definedName name="Puntaje">OFFSET('Resumen usos'!$L$62,0,0,COUNT('Resumen usos'!$L$62:$L$81),1)</definedName>
    <definedName name="Puntaje_Agregado">OFFSET('Resumen usos'!$N$62,0,0,COUNT('Resumen usos'!$N$62:$N$81),1)</definedName>
    <definedName name="Referencia80Consumo">OFFSET('Resumen usos'!$F$62,0,0,COUNT('Resumen usos'!$F$62:$F$81),1)</definedName>
    <definedName name="Referencia80Costo">OFFSET('Resumen usos'!$K$62,0,0,COUNT('Resumen usos'!$K$62:$K$81),1)</definedName>
    <definedName name="Referencia80Puntaje">OFFSET('Resumen usos'!$Q$62,0,0,COUNT('Resumen usos'!$Q$62:$Q$81),1)</definedName>
    <definedName name="SELECCIONAR_RUBRO">Listas!$U$1</definedName>
    <definedName name="SERVICIOS">Listas!$U$24:$U$29</definedName>
    <definedName name="Subrubro">INDIRECT('Resumen consumos y usos'!$E$14)</definedName>
    <definedName name="TALLERES">Listas!$U$30:$U$32</definedName>
  </definedNames>
  <calcPr calcId="145621"/>
</workbook>
</file>

<file path=xl/calcChain.xml><?xml version="1.0" encoding="utf-8"?>
<calcChain xmlns="http://schemas.openxmlformats.org/spreadsheetml/2006/main">
  <c r="P45" i="29" l="1"/>
  <c r="P46" i="29"/>
  <c r="P47" i="29"/>
  <c r="P48" i="29"/>
  <c r="P49" i="29"/>
  <c r="P50" i="29"/>
  <c r="P51" i="29"/>
  <c r="P52" i="29"/>
  <c r="P53" i="29"/>
  <c r="P54" i="29"/>
  <c r="P55" i="29"/>
  <c r="P56" i="29"/>
  <c r="P57" i="29"/>
  <c r="P58" i="29"/>
  <c r="P59" i="29"/>
  <c r="P60" i="29"/>
  <c r="P61" i="29"/>
  <c r="P62" i="29"/>
  <c r="P63" i="29"/>
  <c r="P64" i="29"/>
  <c r="P65" i="29"/>
  <c r="P66" i="29"/>
  <c r="P67" i="29"/>
  <c r="P68" i="29"/>
  <c r="P69" i="29"/>
  <c r="P70" i="29"/>
  <c r="P71" i="29"/>
  <c r="P72" i="29"/>
  <c r="P73" i="29"/>
  <c r="P74" i="29"/>
  <c r="P75" i="29"/>
  <c r="P76" i="29"/>
  <c r="P77" i="29"/>
  <c r="P78" i="29"/>
  <c r="P79" i="29"/>
  <c r="P80" i="29"/>
  <c r="P81" i="29"/>
  <c r="P82" i="29"/>
  <c r="P83" i="29"/>
  <c r="P84" i="29"/>
  <c r="P85" i="29"/>
  <c r="P86" i="29"/>
  <c r="P87" i="29"/>
  <c r="P88" i="29"/>
  <c r="P89" i="29"/>
  <c r="P90" i="29"/>
  <c r="P91" i="29"/>
  <c r="P92" i="29"/>
  <c r="P93" i="29"/>
  <c r="P94" i="29"/>
  <c r="P95" i="29"/>
  <c r="P16" i="29"/>
  <c r="P17" i="29"/>
  <c r="P18" i="29"/>
  <c r="P19" i="29"/>
  <c r="P20" i="29"/>
  <c r="P21" i="29"/>
  <c r="P22" i="29"/>
  <c r="P23" i="29"/>
  <c r="P24" i="29"/>
  <c r="P25" i="29"/>
  <c r="P26" i="29"/>
  <c r="P27" i="29"/>
  <c r="P28" i="29"/>
  <c r="P29" i="29"/>
  <c r="P30" i="29"/>
  <c r="P31" i="29"/>
  <c r="P32" i="29"/>
  <c r="P33" i="29"/>
  <c r="P34" i="29"/>
  <c r="P35" i="29"/>
  <c r="P36" i="29"/>
  <c r="P37" i="29"/>
  <c r="P38" i="29"/>
  <c r="P39" i="29"/>
  <c r="P40" i="29"/>
  <c r="P41" i="29"/>
  <c r="P42" i="29"/>
  <c r="P43" i="29"/>
  <c r="P44" i="29"/>
  <c r="P15" i="29"/>
  <c r="Q92" i="29"/>
  <c r="R92" i="29"/>
  <c r="Q93" i="29"/>
  <c r="R93" i="29"/>
  <c r="Q94" i="29"/>
  <c r="R94" i="29"/>
  <c r="Q95" i="29"/>
  <c r="R95" i="29"/>
  <c r="AJ3" i="17" l="1"/>
  <c r="D36" i="15"/>
  <c r="C36" i="15"/>
  <c r="E21" i="6" s="1"/>
  <c r="F6" i="29"/>
  <c r="G6" i="29" s="1"/>
  <c r="AA3" i="17"/>
  <c r="AE3" i="17"/>
  <c r="AE4" i="17"/>
  <c r="AE5" i="17"/>
  <c r="AE6" i="17"/>
  <c r="AE7" i="17"/>
  <c r="AF7" i="17"/>
  <c r="AE8" i="17"/>
  <c r="AF8" i="17"/>
  <c r="AE9" i="17"/>
  <c r="AF9" i="17"/>
  <c r="AE10" i="17"/>
  <c r="AF10" i="17"/>
  <c r="AE11" i="17"/>
  <c r="AF11" i="17"/>
  <c r="AE12" i="17"/>
  <c r="AF12" i="17"/>
  <c r="Q32" i="29"/>
  <c r="R32" i="29"/>
  <c r="Q65" i="29"/>
  <c r="R65" i="29"/>
  <c r="Q66" i="29"/>
  <c r="R66" i="29"/>
  <c r="Q67" i="29"/>
  <c r="R67" i="29"/>
  <c r="Q68" i="29"/>
  <c r="R68" i="29"/>
  <c r="Q69" i="29"/>
  <c r="R69" i="29"/>
  <c r="Q70" i="29"/>
  <c r="R70" i="29"/>
  <c r="Q71" i="29"/>
  <c r="R71" i="29"/>
  <c r="Q72" i="29"/>
  <c r="R72" i="29"/>
  <c r="Q73" i="29"/>
  <c r="R73" i="29"/>
  <c r="Q74" i="29"/>
  <c r="R74" i="29"/>
  <c r="Q75" i="29"/>
  <c r="R75" i="29"/>
  <c r="Q76" i="29"/>
  <c r="R76" i="29"/>
  <c r="Q77" i="29"/>
  <c r="R77" i="29"/>
  <c r="Q78" i="29"/>
  <c r="R78" i="29"/>
  <c r="Q79" i="29"/>
  <c r="R79" i="29"/>
  <c r="Q80" i="29"/>
  <c r="R80" i="29"/>
  <c r="Q81" i="29"/>
  <c r="R81" i="29"/>
  <c r="Q82" i="29"/>
  <c r="R82" i="29"/>
  <c r="Q83" i="29"/>
  <c r="R83" i="29"/>
  <c r="Q84" i="29"/>
  <c r="R84" i="29"/>
  <c r="I37" i="27"/>
  <c r="J37" i="27"/>
  <c r="I38" i="27"/>
  <c r="J38" i="27"/>
  <c r="I39" i="27"/>
  <c r="J39" i="27"/>
  <c r="I40" i="27"/>
  <c r="J40" i="27"/>
  <c r="I41" i="27"/>
  <c r="J41" i="27"/>
  <c r="I42" i="27"/>
  <c r="J42" i="27"/>
  <c r="I43" i="27"/>
  <c r="J43" i="27"/>
  <c r="I44" i="27"/>
  <c r="J44" i="27"/>
  <c r="I45" i="27"/>
  <c r="J45" i="27"/>
  <c r="I46" i="27"/>
  <c r="J46" i="27"/>
  <c r="J36" i="27"/>
  <c r="I36" i="27"/>
  <c r="L17" i="26" l="1"/>
  <c r="L6" i="26"/>
  <c r="L7" i="26"/>
  <c r="L8" i="26"/>
  <c r="L9" i="26"/>
  <c r="L10" i="26"/>
  <c r="L11" i="26"/>
  <c r="L12" i="26"/>
  <c r="L13" i="26"/>
  <c r="L14" i="26"/>
  <c r="L15" i="26"/>
  <c r="L6" i="25"/>
  <c r="L7" i="25"/>
  <c r="L8" i="25"/>
  <c r="L9" i="25"/>
  <c r="L10" i="25"/>
  <c r="L11" i="25"/>
  <c r="L12" i="25"/>
  <c r="L13" i="25"/>
  <c r="L14" i="25"/>
  <c r="L15" i="25"/>
  <c r="L6" i="24"/>
  <c r="L7" i="24"/>
  <c r="L8" i="24"/>
  <c r="L9" i="24"/>
  <c r="L10" i="24"/>
  <c r="L11" i="24"/>
  <c r="L12" i="24"/>
  <c r="L13" i="24"/>
  <c r="L14" i="24"/>
  <c r="L15" i="24"/>
  <c r="AJ12" i="16"/>
  <c r="AJ13" i="16"/>
  <c r="I30" i="27" s="1"/>
  <c r="H47" i="6" s="1"/>
  <c r="AJ14" i="16"/>
  <c r="I31" i="27" s="1"/>
  <c r="H48" i="6" s="1"/>
  <c r="AJ15" i="16"/>
  <c r="I32" i="27" s="1"/>
  <c r="H49" i="6" s="1"/>
  <c r="M35" i="29"/>
  <c r="M34" i="29"/>
  <c r="M31" i="29"/>
  <c r="M30" i="29"/>
  <c r="M21" i="29"/>
  <c r="M20" i="29"/>
  <c r="M19" i="29"/>
  <c r="M18" i="29"/>
  <c r="Q59" i="29" l="1"/>
  <c r="Q60" i="29"/>
  <c r="Q62" i="29"/>
  <c r="Q64" i="29"/>
  <c r="I29" i="27"/>
  <c r="H46" i="6" s="1"/>
  <c r="Q63" i="29"/>
  <c r="Q61" i="29"/>
  <c r="B26" i="17"/>
  <c r="B33" i="17"/>
  <c r="B40" i="17"/>
  <c r="B47" i="17"/>
  <c r="W63" i="27" l="1"/>
  <c r="W64" i="27"/>
  <c r="W65" i="27"/>
  <c r="W66" i="27"/>
  <c r="W67" i="27"/>
  <c r="W68" i="27"/>
  <c r="W69" i="27"/>
  <c r="W70" i="27"/>
  <c r="W71" i="27"/>
  <c r="W72" i="27"/>
  <c r="W73" i="27"/>
  <c r="W74" i="27"/>
  <c r="W75" i="27"/>
  <c r="W76" i="27"/>
  <c r="W77" i="27"/>
  <c r="W78" i="27"/>
  <c r="W79" i="27"/>
  <c r="W80" i="27"/>
  <c r="W62" i="27"/>
  <c r="G49" i="27"/>
  <c r="G50" i="27" s="1"/>
  <c r="G51" i="27" s="1"/>
  <c r="G52" i="27" s="1"/>
  <c r="G53" i="27" s="1"/>
  <c r="G54" i="27" s="1"/>
  <c r="G55" i="27" s="1"/>
  <c r="G56" i="27" s="1"/>
  <c r="G57" i="27" s="1"/>
  <c r="G58" i="27" s="1"/>
  <c r="G36" i="27"/>
  <c r="G37" i="27" s="1"/>
  <c r="G38" i="27" s="1"/>
  <c r="G39" i="27" s="1"/>
  <c r="G40" i="27" s="1"/>
  <c r="G41" i="27" s="1"/>
  <c r="G42" i="27" s="1"/>
  <c r="G43" i="27" s="1"/>
  <c r="G44" i="27" s="1"/>
  <c r="G45" i="27" s="1"/>
  <c r="G23" i="27"/>
  <c r="G24" i="27" s="1"/>
  <c r="G25" i="27" s="1"/>
  <c r="G26" i="27" s="1"/>
  <c r="G27" i="27" s="1"/>
  <c r="G28" i="27" s="1"/>
  <c r="G29" i="27" s="1"/>
  <c r="G30" i="27" s="1"/>
  <c r="G31" i="27" s="1"/>
  <c r="G32" i="27" s="1"/>
  <c r="G10" i="27"/>
  <c r="G11" i="27" s="1"/>
  <c r="G12" i="27" s="1"/>
  <c r="G13" i="27" s="1"/>
  <c r="G14" i="27" s="1"/>
  <c r="G15" i="27" s="1"/>
  <c r="G16" i="27" s="1"/>
  <c r="G17" i="27" s="1"/>
  <c r="G18" i="27" s="1"/>
  <c r="G19" i="27" s="1"/>
  <c r="I11" i="27"/>
  <c r="C22" i="27" l="1"/>
  <c r="C35" i="27" s="1"/>
  <c r="C48" i="27" s="1"/>
  <c r="D22" i="27"/>
  <c r="D35" i="27" s="1"/>
  <c r="D48" i="27" s="1"/>
  <c r="E22" i="27"/>
  <c r="E35" i="27" s="1"/>
  <c r="E48" i="27" s="1"/>
  <c r="B22" i="27"/>
  <c r="B35" i="27" s="1"/>
  <c r="B48" i="27" s="1"/>
  <c r="D61" i="27" l="1"/>
  <c r="C61" i="27"/>
  <c r="G61" i="27"/>
  <c r="B61" i="27"/>
  <c r="D26" i="2"/>
  <c r="C25" i="3"/>
  <c r="C24" i="3"/>
  <c r="C24" i="4"/>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49" i="25"/>
  <c r="H50"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3" i="25"/>
  <c r="H94"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 r="H160" i="25"/>
  <c r="H161" i="25"/>
  <c r="H162" i="25"/>
  <c r="H163" i="25"/>
  <c r="H164" i="25"/>
  <c r="H165" i="25"/>
  <c r="H166" i="25"/>
  <c r="H167" i="25"/>
  <c r="H168" i="25"/>
  <c r="H169" i="25"/>
  <c r="H170" i="25"/>
  <c r="H171" i="25"/>
  <c r="H172" i="25"/>
  <c r="H173" i="25"/>
  <c r="H174" i="25"/>
  <c r="H175" i="25"/>
  <c r="H176" i="25"/>
  <c r="H177" i="25"/>
  <c r="H178" i="25"/>
  <c r="H179" i="25"/>
  <c r="H180" i="25"/>
  <c r="H181" i="25"/>
  <c r="H182" i="25"/>
  <c r="H183" i="25"/>
  <c r="H184" i="25"/>
  <c r="H185" i="25"/>
  <c r="H186" i="25"/>
  <c r="H187" i="25"/>
  <c r="H188" i="25"/>
  <c r="H189" i="25"/>
  <c r="H190" i="25"/>
  <c r="H191" i="25"/>
  <c r="H192" i="25"/>
  <c r="H193" i="25"/>
  <c r="H194" i="25"/>
  <c r="H195" i="25"/>
  <c r="H196" i="25"/>
  <c r="H197" i="25"/>
  <c r="H198" i="25"/>
  <c r="H199" i="25"/>
  <c r="H200" i="25"/>
  <c r="H5" i="25"/>
  <c r="H6" i="26"/>
  <c r="H7" i="26"/>
  <c r="H8" i="26"/>
  <c r="H9" i="26"/>
  <c r="H10" i="26"/>
  <c r="H11" i="26"/>
  <c r="H12" i="26"/>
  <c r="H13" i="26"/>
  <c r="H14" i="26"/>
  <c r="H15" i="26"/>
  <c r="H16" i="26"/>
  <c r="H17" i="26"/>
  <c r="H18" i="26"/>
  <c r="H19" i="26"/>
  <c r="H20" i="26"/>
  <c r="H21" i="26"/>
  <c r="H22" i="26"/>
  <c r="H23" i="26"/>
  <c r="H24" i="26"/>
  <c r="H25" i="26"/>
  <c r="H26" i="26"/>
  <c r="H27" i="26"/>
  <c r="H28" i="26"/>
  <c r="H29"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H119" i="26"/>
  <c r="H120" i="26"/>
  <c r="H121" i="26"/>
  <c r="H122" i="26"/>
  <c r="H123" i="26"/>
  <c r="H124" i="26"/>
  <c r="H125" i="26"/>
  <c r="H126" i="26"/>
  <c r="H127" i="26"/>
  <c r="H128" i="26"/>
  <c r="H129" i="26"/>
  <c r="H130" i="26"/>
  <c r="H131" i="26"/>
  <c r="H132" i="26"/>
  <c r="H133" i="26"/>
  <c r="H134" i="26"/>
  <c r="H135" i="26"/>
  <c r="H136" i="26"/>
  <c r="H137" i="26"/>
  <c r="H138" i="26"/>
  <c r="H139" i="26"/>
  <c r="H140" i="26"/>
  <c r="H141" i="26"/>
  <c r="H142" i="26"/>
  <c r="H143" i="26"/>
  <c r="H144" i="26"/>
  <c r="H145" i="26"/>
  <c r="H146" i="26"/>
  <c r="H147" i="26"/>
  <c r="H148" i="26"/>
  <c r="H149" i="26"/>
  <c r="H150" i="26"/>
  <c r="H151" i="26"/>
  <c r="H152" i="26"/>
  <c r="H153" i="26"/>
  <c r="H154" i="26"/>
  <c r="H155" i="26"/>
  <c r="H156" i="26"/>
  <c r="H157" i="26"/>
  <c r="H158" i="26"/>
  <c r="H159" i="26"/>
  <c r="H160" i="26"/>
  <c r="H161" i="26"/>
  <c r="H162" i="26"/>
  <c r="H163" i="26"/>
  <c r="H164" i="26"/>
  <c r="H165" i="26"/>
  <c r="H166" i="26"/>
  <c r="H167" i="26"/>
  <c r="H168" i="26"/>
  <c r="H169" i="26"/>
  <c r="H170" i="26"/>
  <c r="H171" i="26"/>
  <c r="H172" i="26"/>
  <c r="H173" i="26"/>
  <c r="H174" i="26"/>
  <c r="H175" i="26"/>
  <c r="H176" i="26"/>
  <c r="H177" i="26"/>
  <c r="H178" i="26"/>
  <c r="H179" i="26"/>
  <c r="H180" i="26"/>
  <c r="H181" i="26"/>
  <c r="H182" i="26"/>
  <c r="H183" i="26"/>
  <c r="H184" i="26"/>
  <c r="H185" i="26"/>
  <c r="H186" i="26"/>
  <c r="H187" i="26"/>
  <c r="H188" i="26"/>
  <c r="H189" i="26"/>
  <c r="H190" i="26"/>
  <c r="H191" i="26"/>
  <c r="H192" i="26"/>
  <c r="H193" i="26"/>
  <c r="H194" i="26"/>
  <c r="H195" i="26"/>
  <c r="H196" i="26"/>
  <c r="H197" i="26"/>
  <c r="H198" i="26"/>
  <c r="H199" i="26"/>
  <c r="H200" i="26"/>
  <c r="H5" i="26"/>
  <c r="B50" i="27" s="1"/>
  <c r="H6" i="24"/>
  <c r="H7" i="24"/>
  <c r="H8" i="24"/>
  <c r="H9" i="24"/>
  <c r="H10" i="24"/>
  <c r="H11" i="24"/>
  <c r="H12" i="24"/>
  <c r="H13" i="24"/>
  <c r="H14" i="24"/>
  <c r="H15" i="24"/>
  <c r="H16" i="24"/>
  <c r="H17" i="24"/>
  <c r="H18" i="24"/>
  <c r="H19" i="24"/>
  <c r="H20" i="24"/>
  <c r="H21" i="24"/>
  <c r="H22" i="24"/>
  <c r="H23" i="24"/>
  <c r="H24" i="24"/>
  <c r="H25" i="24"/>
  <c r="H26" i="24"/>
  <c r="H27" i="24"/>
  <c r="H28" i="24"/>
  <c r="H29" i="24"/>
  <c r="H30" i="24"/>
  <c r="H31" i="24"/>
  <c r="H32" i="24"/>
  <c r="H33" i="24"/>
  <c r="H34" i="24"/>
  <c r="H35" i="24"/>
  <c r="H36" i="24"/>
  <c r="H37" i="24"/>
  <c r="H38" i="24"/>
  <c r="H39" i="24"/>
  <c r="H40" i="24"/>
  <c r="H41" i="24"/>
  <c r="H42" i="24"/>
  <c r="H43" i="24"/>
  <c r="H44" i="24"/>
  <c r="H45" i="24"/>
  <c r="H46" i="24"/>
  <c r="H47" i="24"/>
  <c r="H48" i="24"/>
  <c r="H49" i="24"/>
  <c r="H50" i="24"/>
  <c r="H51" i="24"/>
  <c r="H52" i="24"/>
  <c r="H53" i="24"/>
  <c r="H54" i="24"/>
  <c r="H55" i="24"/>
  <c r="H56" i="24"/>
  <c r="H57" i="24"/>
  <c r="H58" i="24"/>
  <c r="H59" i="24"/>
  <c r="H60" i="24"/>
  <c r="H61" i="24"/>
  <c r="H62" i="24"/>
  <c r="H63" i="24"/>
  <c r="H64" i="24"/>
  <c r="H65" i="24"/>
  <c r="H66" i="24"/>
  <c r="H67" i="24"/>
  <c r="H68" i="24"/>
  <c r="H69" i="24"/>
  <c r="H70" i="24"/>
  <c r="H71" i="24"/>
  <c r="H72" i="24"/>
  <c r="H73" i="24"/>
  <c r="H74" i="24"/>
  <c r="H75" i="24"/>
  <c r="H76" i="24"/>
  <c r="H77" i="24"/>
  <c r="H78" i="24"/>
  <c r="H79" i="24"/>
  <c r="H80" i="24"/>
  <c r="H81" i="24"/>
  <c r="H82" i="24"/>
  <c r="H83" i="24"/>
  <c r="H84" i="24"/>
  <c r="H85" i="24"/>
  <c r="H86" i="24"/>
  <c r="H87" i="24"/>
  <c r="H88" i="24"/>
  <c r="H89" i="24"/>
  <c r="H90" i="24"/>
  <c r="H91" i="24"/>
  <c r="H92" i="24"/>
  <c r="H93" i="24"/>
  <c r="H94" i="24"/>
  <c r="H95" i="24"/>
  <c r="H96" i="24"/>
  <c r="H97" i="24"/>
  <c r="H98" i="24"/>
  <c r="H99" i="24"/>
  <c r="H100" i="24"/>
  <c r="H101" i="24"/>
  <c r="H102" i="24"/>
  <c r="H103" i="24"/>
  <c r="H104" i="24"/>
  <c r="H105" i="24"/>
  <c r="H106" i="24"/>
  <c r="H107" i="24"/>
  <c r="H108" i="24"/>
  <c r="H109" i="24"/>
  <c r="H110" i="24"/>
  <c r="H111" i="24"/>
  <c r="H112" i="24"/>
  <c r="H113" i="24"/>
  <c r="H114" i="24"/>
  <c r="H115" i="24"/>
  <c r="H116" i="24"/>
  <c r="H117" i="24"/>
  <c r="H118" i="24"/>
  <c r="H119" i="24"/>
  <c r="H120" i="24"/>
  <c r="H121" i="24"/>
  <c r="H122" i="24"/>
  <c r="H123" i="24"/>
  <c r="H124" i="24"/>
  <c r="H125" i="24"/>
  <c r="H126" i="24"/>
  <c r="H127" i="24"/>
  <c r="H128" i="24"/>
  <c r="H129" i="24"/>
  <c r="H130" i="24"/>
  <c r="H131" i="24"/>
  <c r="H132" i="24"/>
  <c r="H133" i="24"/>
  <c r="H134" i="24"/>
  <c r="H135" i="24"/>
  <c r="H136" i="24"/>
  <c r="H137" i="24"/>
  <c r="H138" i="24"/>
  <c r="H139" i="24"/>
  <c r="H140" i="24"/>
  <c r="H141" i="24"/>
  <c r="H142" i="24"/>
  <c r="H143" i="24"/>
  <c r="H144" i="24"/>
  <c r="H145" i="24"/>
  <c r="H146" i="24"/>
  <c r="H147" i="24"/>
  <c r="H148" i="24"/>
  <c r="H149" i="24"/>
  <c r="H150" i="24"/>
  <c r="H151" i="24"/>
  <c r="H152" i="24"/>
  <c r="H153" i="24"/>
  <c r="H154" i="24"/>
  <c r="H155" i="24"/>
  <c r="H156" i="24"/>
  <c r="H157" i="24"/>
  <c r="H158" i="24"/>
  <c r="H159" i="24"/>
  <c r="H160" i="24"/>
  <c r="H161" i="24"/>
  <c r="H162" i="24"/>
  <c r="H163" i="24"/>
  <c r="H164" i="24"/>
  <c r="H165" i="24"/>
  <c r="H166" i="24"/>
  <c r="H167" i="24"/>
  <c r="H168" i="24"/>
  <c r="H169" i="24"/>
  <c r="H170" i="24"/>
  <c r="H171" i="24"/>
  <c r="H172" i="24"/>
  <c r="H173" i="24"/>
  <c r="H174" i="24"/>
  <c r="H175" i="24"/>
  <c r="H176" i="24"/>
  <c r="H177" i="24"/>
  <c r="H178" i="24"/>
  <c r="H179" i="24"/>
  <c r="H180" i="24"/>
  <c r="H181" i="24"/>
  <c r="H182" i="24"/>
  <c r="H183" i="24"/>
  <c r="H184" i="24"/>
  <c r="H185" i="24"/>
  <c r="H186" i="24"/>
  <c r="H187" i="24"/>
  <c r="H188" i="24"/>
  <c r="H189" i="24"/>
  <c r="H190" i="24"/>
  <c r="H191" i="24"/>
  <c r="H192" i="24"/>
  <c r="H193" i="24"/>
  <c r="H194" i="24"/>
  <c r="H195" i="24"/>
  <c r="H196" i="24"/>
  <c r="H197" i="24"/>
  <c r="H198" i="24"/>
  <c r="H199" i="24"/>
  <c r="H200" i="24"/>
  <c r="H5" i="24"/>
  <c r="P7" i="7"/>
  <c r="P8" i="7"/>
  <c r="P9" i="7"/>
  <c r="P10" i="7"/>
  <c r="P11" i="7"/>
  <c r="P12" i="7"/>
  <c r="P13" i="7"/>
  <c r="P14" i="7"/>
  <c r="P15" i="7"/>
  <c r="P16" i="7"/>
  <c r="P17" i="7"/>
  <c r="P18" i="7"/>
  <c r="P19" i="7"/>
  <c r="P20" i="7"/>
  <c r="P21" i="7"/>
  <c r="P22" i="7"/>
  <c r="P23" i="7"/>
  <c r="P24" i="7"/>
  <c r="P25" i="7"/>
  <c r="P26" i="7"/>
  <c r="P27" i="7"/>
  <c r="P28" i="7"/>
  <c r="P29" i="7"/>
  <c r="P30" i="7"/>
  <c r="P31" i="7"/>
  <c r="P32" i="7"/>
  <c r="P33" i="7"/>
  <c r="P34" i="7"/>
  <c r="P35" i="7"/>
  <c r="P6" i="7"/>
  <c r="B27" i="27" l="1"/>
  <c r="B38" i="27"/>
  <c r="B49" i="27"/>
  <c r="C49" i="27" s="1"/>
  <c r="B58" i="27"/>
  <c r="B57" i="27"/>
  <c r="B55" i="27"/>
  <c r="B56" i="27"/>
  <c r="B54" i="27"/>
  <c r="B51" i="27"/>
  <c r="C51" i="27" s="1"/>
  <c r="L5" i="26"/>
  <c r="L5" i="25"/>
  <c r="B53" i="27"/>
  <c r="C53" i="27" s="1"/>
  <c r="B52" i="27"/>
  <c r="C52" i="27" s="1"/>
  <c r="B29" i="27"/>
  <c r="B32" i="27"/>
  <c r="B31" i="27"/>
  <c r="B30" i="27"/>
  <c r="B28" i="27"/>
  <c r="B23" i="27"/>
  <c r="B24" i="27"/>
  <c r="C24" i="27" s="1"/>
  <c r="B26" i="27"/>
  <c r="C26" i="27" s="1"/>
  <c r="B25" i="27"/>
  <c r="C25" i="27" s="1"/>
  <c r="B39" i="27"/>
  <c r="C39" i="27" s="1"/>
  <c r="B45" i="27"/>
  <c r="B41" i="27"/>
  <c r="B44" i="27"/>
  <c r="B43" i="27"/>
  <c r="B42" i="27"/>
  <c r="B36" i="27"/>
  <c r="C36" i="27" s="1"/>
  <c r="B37" i="27"/>
  <c r="B40" i="27"/>
  <c r="C40" i="27" s="1"/>
  <c r="C27" i="27"/>
  <c r="C50" i="27"/>
  <c r="C38" i="27"/>
  <c r="B68" i="17"/>
  <c r="B61" i="17"/>
  <c r="B54" i="17"/>
  <c r="C55" i="27" l="1"/>
  <c r="C56" i="27"/>
  <c r="C57" i="27"/>
  <c r="C54" i="27"/>
  <c r="C58" i="27"/>
  <c r="C37" i="27"/>
  <c r="C23" i="27"/>
  <c r="C30" i="27"/>
  <c r="C31" i="27"/>
  <c r="C32" i="27"/>
  <c r="C28" i="27"/>
  <c r="C29" i="27"/>
  <c r="C44" i="27"/>
  <c r="C41" i="27"/>
  <c r="C42" i="27"/>
  <c r="C45" i="27"/>
  <c r="C43" i="27"/>
  <c r="L5" i="24"/>
  <c r="D6" i="7"/>
  <c r="J3" i="7" l="1"/>
  <c r="H32" i="6"/>
  <c r="F32" i="6"/>
  <c r="B5" i="18"/>
  <c r="F28" i="6" s="1"/>
  <c r="D9" i="4"/>
  <c r="D10" i="3"/>
  <c r="D11" i="3"/>
  <c r="D12" i="3"/>
  <c r="D13" i="3"/>
  <c r="D14" i="3"/>
  <c r="D15" i="3"/>
  <c r="D16" i="3"/>
  <c r="D17" i="3"/>
  <c r="D18" i="3"/>
  <c r="D19" i="3"/>
  <c r="D20" i="3"/>
  <c r="D9" i="3"/>
  <c r="F21" i="2"/>
  <c r="G21" i="2" s="1"/>
  <c r="F22" i="2"/>
  <c r="G22" i="2" s="1"/>
  <c r="F23" i="2"/>
  <c r="G23" i="2" s="1"/>
  <c r="F12" i="2"/>
  <c r="G12" i="2" s="1"/>
  <c r="F13" i="2"/>
  <c r="G13" i="2" s="1"/>
  <c r="F14" i="2"/>
  <c r="G14" i="2" s="1"/>
  <c r="F15" i="2"/>
  <c r="G15" i="2" s="1"/>
  <c r="F16" i="2"/>
  <c r="G16" i="2" s="1"/>
  <c r="F17" i="2"/>
  <c r="G17" i="2" s="1"/>
  <c r="F18" i="2"/>
  <c r="G18" i="2" s="1"/>
  <c r="F19" i="2"/>
  <c r="G19" i="2" s="1"/>
  <c r="C24" i="2"/>
  <c r="L20" i="2"/>
  <c r="H24" i="2" s="1"/>
  <c r="M20" i="2"/>
  <c r="L21" i="2"/>
  <c r="M21" i="2" s="1"/>
  <c r="L22" i="2"/>
  <c r="M22" i="2" s="1"/>
  <c r="L23" i="2"/>
  <c r="M23" i="2" s="1"/>
  <c r="L12" i="2"/>
  <c r="M12" i="2" s="1"/>
  <c r="L13" i="2"/>
  <c r="M13" i="2" s="1"/>
  <c r="L14" i="2"/>
  <c r="M14" i="2" s="1"/>
  <c r="L15" i="2"/>
  <c r="M15" i="2" s="1"/>
  <c r="L16" i="2"/>
  <c r="M16" i="2" s="1"/>
  <c r="L17" i="2"/>
  <c r="M17" i="2" s="1"/>
  <c r="L18" i="2"/>
  <c r="M18" i="2" s="1"/>
  <c r="L19" i="2"/>
  <c r="M19" i="2" s="1"/>
  <c r="F20" i="2"/>
  <c r="G20" i="2" s="1"/>
  <c r="E6" i="7"/>
  <c r="F6" i="7" l="1"/>
  <c r="M24" i="2"/>
  <c r="G6" i="7"/>
  <c r="C6" i="18" l="1"/>
  <c r="H29" i="6" s="1"/>
  <c r="D7" i="7"/>
  <c r="X6" i="7"/>
  <c r="Y6" i="7" s="1"/>
  <c r="K6" i="7"/>
  <c r="J6" i="7"/>
  <c r="U6" i="16"/>
  <c r="V6" i="16" s="1"/>
  <c r="U7" i="16"/>
  <c r="V7" i="16" s="1"/>
  <c r="U8" i="16"/>
  <c r="V8" i="16" s="1"/>
  <c r="U9" i="16"/>
  <c r="V9" i="16" s="1"/>
  <c r="U10" i="16"/>
  <c r="V10" i="16" s="1"/>
  <c r="U11" i="16"/>
  <c r="V11" i="16" s="1"/>
  <c r="U12" i="16"/>
  <c r="V12" i="16" s="1"/>
  <c r="U13" i="16"/>
  <c r="V13" i="16" s="1"/>
  <c r="U14" i="16"/>
  <c r="V14" i="16" s="1"/>
  <c r="U15" i="16"/>
  <c r="V15" i="16" s="1"/>
  <c r="U16" i="16"/>
  <c r="V16" i="16" s="1"/>
  <c r="U17" i="16"/>
  <c r="V17" i="16" s="1"/>
  <c r="U18" i="16"/>
  <c r="V18" i="16" s="1"/>
  <c r="U19" i="16"/>
  <c r="V19" i="16" s="1"/>
  <c r="U20" i="16"/>
  <c r="V20" i="16" s="1"/>
  <c r="U21" i="16"/>
  <c r="V21" i="16" s="1"/>
  <c r="U22" i="16"/>
  <c r="V22" i="16" s="1"/>
  <c r="U23" i="16"/>
  <c r="V23" i="16" s="1"/>
  <c r="U24" i="16"/>
  <c r="V24" i="16" s="1"/>
  <c r="U25" i="16"/>
  <c r="V25" i="16" s="1"/>
  <c r="U26" i="16"/>
  <c r="V26" i="16" s="1"/>
  <c r="U27" i="16"/>
  <c r="V27" i="16" s="1"/>
  <c r="U28" i="16"/>
  <c r="V28" i="16" s="1"/>
  <c r="U29" i="16"/>
  <c r="V29" i="16" s="1"/>
  <c r="U30" i="16"/>
  <c r="V30" i="16" s="1"/>
  <c r="U31" i="16"/>
  <c r="V31" i="16" s="1"/>
  <c r="U32" i="16"/>
  <c r="V32" i="16" s="1"/>
  <c r="U33" i="16"/>
  <c r="V33" i="16" s="1"/>
  <c r="U34" i="16"/>
  <c r="V34" i="16" s="1"/>
  <c r="U35" i="16"/>
  <c r="V35" i="16" s="1"/>
  <c r="U36" i="16"/>
  <c r="V36" i="16" s="1"/>
  <c r="U37" i="16"/>
  <c r="V37" i="16" s="1"/>
  <c r="U38" i="16"/>
  <c r="V38" i="16" s="1"/>
  <c r="U39" i="16"/>
  <c r="V39" i="16" s="1"/>
  <c r="U40" i="16"/>
  <c r="V40" i="16" s="1"/>
  <c r="U41" i="16"/>
  <c r="V41" i="16" s="1"/>
  <c r="U42" i="16"/>
  <c r="V42" i="16" s="1"/>
  <c r="U43" i="16"/>
  <c r="V43" i="16" s="1"/>
  <c r="U44" i="16"/>
  <c r="V44" i="16" s="1"/>
  <c r="U45" i="16"/>
  <c r="V45" i="16" s="1"/>
  <c r="U46" i="16"/>
  <c r="V46" i="16" s="1"/>
  <c r="U47" i="16"/>
  <c r="V47" i="16" s="1"/>
  <c r="U48" i="16"/>
  <c r="V48" i="16" s="1"/>
  <c r="U49" i="16"/>
  <c r="V49" i="16" s="1"/>
  <c r="U50" i="16"/>
  <c r="V50" i="16" s="1"/>
  <c r="U51" i="16"/>
  <c r="V51" i="16" s="1"/>
  <c r="U52" i="16"/>
  <c r="V52" i="16" s="1"/>
  <c r="U53" i="16"/>
  <c r="V53" i="16" s="1"/>
  <c r="U54" i="16"/>
  <c r="V54" i="16" s="1"/>
  <c r="U55" i="16"/>
  <c r="V55" i="16" s="1"/>
  <c r="U56" i="16"/>
  <c r="V56" i="16" s="1"/>
  <c r="U57" i="16"/>
  <c r="V57" i="16" s="1"/>
  <c r="U58" i="16"/>
  <c r="V58" i="16" s="1"/>
  <c r="U59" i="16"/>
  <c r="V59" i="16" s="1"/>
  <c r="U60" i="16"/>
  <c r="V60" i="16" s="1"/>
  <c r="U61" i="16"/>
  <c r="V61" i="16" s="1"/>
  <c r="U62" i="16"/>
  <c r="V62" i="16" s="1"/>
  <c r="U63" i="16"/>
  <c r="V63" i="16" s="1"/>
  <c r="U64" i="16"/>
  <c r="V64" i="16" s="1"/>
  <c r="U65" i="16"/>
  <c r="V65" i="16" s="1"/>
  <c r="U66" i="16"/>
  <c r="V66" i="16" s="1"/>
  <c r="U67" i="16"/>
  <c r="V67" i="16" s="1"/>
  <c r="U68" i="16"/>
  <c r="V68" i="16" s="1"/>
  <c r="U69" i="16"/>
  <c r="V69" i="16" s="1"/>
  <c r="U70" i="16"/>
  <c r="V70" i="16" s="1"/>
  <c r="U71" i="16"/>
  <c r="V71" i="16" s="1"/>
  <c r="U72" i="16"/>
  <c r="V72" i="16" s="1"/>
  <c r="U73" i="16"/>
  <c r="V73" i="16" s="1"/>
  <c r="U74" i="16"/>
  <c r="V74" i="16" s="1"/>
  <c r="U75" i="16"/>
  <c r="V75" i="16" s="1"/>
  <c r="U76" i="16"/>
  <c r="V76" i="16" s="1"/>
  <c r="U77" i="16"/>
  <c r="V77" i="16" s="1"/>
  <c r="U78" i="16"/>
  <c r="V78" i="16" s="1"/>
  <c r="U79" i="16"/>
  <c r="V79" i="16" s="1"/>
  <c r="U80" i="16"/>
  <c r="V80" i="16" s="1"/>
  <c r="U81" i="16"/>
  <c r="V81" i="16" s="1"/>
  <c r="U82" i="16"/>
  <c r="V82" i="16" s="1"/>
  <c r="U83" i="16"/>
  <c r="V83" i="16" s="1"/>
  <c r="U84" i="16"/>
  <c r="V84" i="16" s="1"/>
  <c r="U85" i="16"/>
  <c r="V85" i="16" s="1"/>
  <c r="U86" i="16"/>
  <c r="V86" i="16" s="1"/>
  <c r="U87" i="16"/>
  <c r="V87" i="16" s="1"/>
  <c r="U88" i="16"/>
  <c r="V88" i="16" s="1"/>
  <c r="U89" i="16"/>
  <c r="V89" i="16" s="1"/>
  <c r="U90" i="16"/>
  <c r="V90" i="16" s="1"/>
  <c r="U91" i="16"/>
  <c r="V91" i="16" s="1"/>
  <c r="U92" i="16"/>
  <c r="V92" i="16" s="1"/>
  <c r="U93" i="16"/>
  <c r="V93" i="16" s="1"/>
  <c r="U94" i="16"/>
  <c r="V94" i="16" s="1"/>
  <c r="U95" i="16"/>
  <c r="V95" i="16" s="1"/>
  <c r="U96" i="16"/>
  <c r="V96" i="16" s="1"/>
  <c r="U97" i="16"/>
  <c r="V97" i="16" s="1"/>
  <c r="U98" i="16"/>
  <c r="V98" i="16" s="1"/>
  <c r="U99" i="16"/>
  <c r="V99" i="16" s="1"/>
  <c r="U100" i="16"/>
  <c r="V100" i="16" s="1"/>
  <c r="U101" i="16"/>
  <c r="V101" i="16" s="1"/>
  <c r="U102" i="16"/>
  <c r="V102" i="16" s="1"/>
  <c r="U103" i="16"/>
  <c r="V103" i="16" s="1"/>
  <c r="U104" i="16"/>
  <c r="V104" i="16" s="1"/>
  <c r="U105" i="16"/>
  <c r="V105" i="16" s="1"/>
  <c r="U106" i="16"/>
  <c r="V106" i="16" s="1"/>
  <c r="U107" i="16"/>
  <c r="V107" i="16" s="1"/>
  <c r="U108" i="16"/>
  <c r="V108" i="16" s="1"/>
  <c r="U109" i="16"/>
  <c r="V109" i="16" s="1"/>
  <c r="U110" i="16"/>
  <c r="V110" i="16" s="1"/>
  <c r="U111" i="16"/>
  <c r="V111" i="16" s="1"/>
  <c r="U112" i="16"/>
  <c r="V112" i="16" s="1"/>
  <c r="U113" i="16"/>
  <c r="V113" i="16" s="1"/>
  <c r="U114" i="16"/>
  <c r="V114" i="16" s="1"/>
  <c r="U115" i="16"/>
  <c r="V115" i="16" s="1"/>
  <c r="U116" i="16"/>
  <c r="V116" i="16" s="1"/>
  <c r="U117" i="16"/>
  <c r="V117" i="16" s="1"/>
  <c r="U118" i="16"/>
  <c r="V118" i="16" s="1"/>
  <c r="U119" i="16"/>
  <c r="V119" i="16" s="1"/>
  <c r="U120" i="16"/>
  <c r="V120" i="16" s="1"/>
  <c r="U121" i="16"/>
  <c r="V121" i="16" s="1"/>
  <c r="U122" i="16"/>
  <c r="V122" i="16" s="1"/>
  <c r="U123" i="16"/>
  <c r="V123" i="16" s="1"/>
  <c r="U124" i="16"/>
  <c r="V124" i="16" s="1"/>
  <c r="U125" i="16"/>
  <c r="V125" i="16" s="1"/>
  <c r="U126" i="16"/>
  <c r="V126" i="16" s="1"/>
  <c r="U127" i="16"/>
  <c r="V127" i="16" s="1"/>
  <c r="U128" i="16"/>
  <c r="V128" i="16" s="1"/>
  <c r="U129" i="16"/>
  <c r="V129" i="16" s="1"/>
  <c r="U130" i="16"/>
  <c r="V130" i="16" s="1"/>
  <c r="U131" i="16"/>
  <c r="V131" i="16" s="1"/>
  <c r="U132" i="16"/>
  <c r="V132" i="16" s="1"/>
  <c r="U133" i="16"/>
  <c r="V133" i="16" s="1"/>
  <c r="U134" i="16"/>
  <c r="V134" i="16" s="1"/>
  <c r="U135" i="16"/>
  <c r="V135" i="16" s="1"/>
  <c r="U136" i="16"/>
  <c r="V136" i="16" s="1"/>
  <c r="U137" i="16"/>
  <c r="V137" i="16" s="1"/>
  <c r="U138" i="16"/>
  <c r="V138" i="16" s="1"/>
  <c r="U139" i="16"/>
  <c r="V139" i="16" s="1"/>
  <c r="U140" i="16"/>
  <c r="V140" i="16" s="1"/>
  <c r="U141" i="16"/>
  <c r="V141" i="16" s="1"/>
  <c r="U142" i="16"/>
  <c r="V142" i="16" s="1"/>
  <c r="U143" i="16"/>
  <c r="V143" i="16" s="1"/>
  <c r="U144" i="16"/>
  <c r="V144" i="16" s="1"/>
  <c r="U145" i="16"/>
  <c r="V145" i="16" s="1"/>
  <c r="U146" i="16"/>
  <c r="V146" i="16" s="1"/>
  <c r="U147" i="16"/>
  <c r="V147" i="16" s="1"/>
  <c r="U148" i="16"/>
  <c r="V148" i="16" s="1"/>
  <c r="U149" i="16"/>
  <c r="V149" i="16" s="1"/>
  <c r="U150" i="16"/>
  <c r="V150" i="16" s="1"/>
  <c r="U151" i="16"/>
  <c r="V151" i="16" s="1"/>
  <c r="U152" i="16"/>
  <c r="V152" i="16" s="1"/>
  <c r="U153" i="16"/>
  <c r="V153" i="16" s="1"/>
  <c r="U154" i="16"/>
  <c r="V154" i="16" s="1"/>
  <c r="U155" i="16"/>
  <c r="V155" i="16" s="1"/>
  <c r="U156" i="16"/>
  <c r="V156" i="16" s="1"/>
  <c r="U157" i="16"/>
  <c r="V157" i="16" s="1"/>
  <c r="U158" i="16"/>
  <c r="V158" i="16" s="1"/>
  <c r="U159" i="16"/>
  <c r="V159" i="16" s="1"/>
  <c r="U160" i="16"/>
  <c r="V160" i="16" s="1"/>
  <c r="U161" i="16"/>
  <c r="V161" i="16" s="1"/>
  <c r="U162" i="16"/>
  <c r="V162" i="16" s="1"/>
  <c r="U163" i="16"/>
  <c r="V163" i="16" s="1"/>
  <c r="U164" i="16"/>
  <c r="V164" i="16" s="1"/>
  <c r="U165" i="16"/>
  <c r="V165" i="16" s="1"/>
  <c r="U166" i="16"/>
  <c r="V166" i="16" s="1"/>
  <c r="U167" i="16"/>
  <c r="V167" i="16" s="1"/>
  <c r="U168" i="16"/>
  <c r="V168" i="16" s="1"/>
  <c r="U169" i="16"/>
  <c r="V169" i="16" s="1"/>
  <c r="U170" i="16"/>
  <c r="V170" i="16" s="1"/>
  <c r="U171" i="16"/>
  <c r="V171" i="16" s="1"/>
  <c r="U172" i="16"/>
  <c r="V172" i="16" s="1"/>
  <c r="U173" i="16"/>
  <c r="V173" i="16" s="1"/>
  <c r="U174" i="16"/>
  <c r="V174" i="16" s="1"/>
  <c r="U175" i="16"/>
  <c r="V175" i="16" s="1"/>
  <c r="U176" i="16"/>
  <c r="V176" i="16" s="1"/>
  <c r="U177" i="16"/>
  <c r="V177" i="16" s="1"/>
  <c r="U178" i="16"/>
  <c r="V178" i="16" s="1"/>
  <c r="U179" i="16"/>
  <c r="V179" i="16" s="1"/>
  <c r="U180" i="16"/>
  <c r="V180" i="16" s="1"/>
  <c r="U181" i="16"/>
  <c r="V181" i="16" s="1"/>
  <c r="U182" i="16"/>
  <c r="V182" i="16" s="1"/>
  <c r="U183" i="16"/>
  <c r="V183" i="16" s="1"/>
  <c r="U184" i="16"/>
  <c r="V184" i="16" s="1"/>
  <c r="U185" i="16"/>
  <c r="V185" i="16" s="1"/>
  <c r="U186" i="16"/>
  <c r="V186" i="16" s="1"/>
  <c r="U187" i="16"/>
  <c r="V187" i="16" s="1"/>
  <c r="U188" i="16"/>
  <c r="V188" i="16" s="1"/>
  <c r="U189" i="16"/>
  <c r="V189" i="16" s="1"/>
  <c r="U190" i="16"/>
  <c r="V190" i="16" s="1"/>
  <c r="U191" i="16"/>
  <c r="V191" i="16" s="1"/>
  <c r="U192" i="16"/>
  <c r="V192" i="16" s="1"/>
  <c r="U193" i="16"/>
  <c r="V193" i="16" s="1"/>
  <c r="U194" i="16"/>
  <c r="V194" i="16" s="1"/>
  <c r="U195" i="16"/>
  <c r="V195" i="16" s="1"/>
  <c r="U196" i="16"/>
  <c r="V196" i="16" s="1"/>
  <c r="U197" i="16"/>
  <c r="V197" i="16" s="1"/>
  <c r="U198" i="16"/>
  <c r="V198" i="16" s="1"/>
  <c r="U199" i="16"/>
  <c r="V199" i="16" s="1"/>
  <c r="U200" i="16"/>
  <c r="V200" i="16" s="1"/>
  <c r="M6" i="16"/>
  <c r="N6" i="16" s="1"/>
  <c r="M7" i="16"/>
  <c r="N7" i="16" s="1"/>
  <c r="M8" i="16"/>
  <c r="N8" i="16" s="1"/>
  <c r="M9" i="16"/>
  <c r="N9" i="16" s="1"/>
  <c r="M10" i="16"/>
  <c r="N10" i="16" s="1"/>
  <c r="M11" i="16"/>
  <c r="N11" i="16" s="1"/>
  <c r="M12" i="16"/>
  <c r="N12" i="16" s="1"/>
  <c r="M13" i="16"/>
  <c r="N13" i="16" s="1"/>
  <c r="M14" i="16"/>
  <c r="N14" i="16" s="1"/>
  <c r="M15" i="16"/>
  <c r="N15" i="16" s="1"/>
  <c r="M16" i="16"/>
  <c r="N16" i="16" s="1"/>
  <c r="M17" i="16"/>
  <c r="N17" i="16" s="1"/>
  <c r="M18" i="16"/>
  <c r="N18" i="16" s="1"/>
  <c r="M19" i="16"/>
  <c r="N19" i="16" s="1"/>
  <c r="M20" i="16"/>
  <c r="N20" i="16" s="1"/>
  <c r="M21" i="16"/>
  <c r="N21" i="16" s="1"/>
  <c r="M22" i="16"/>
  <c r="N22" i="16" s="1"/>
  <c r="M23" i="16"/>
  <c r="N23" i="16" s="1"/>
  <c r="M24" i="16"/>
  <c r="N24" i="16" s="1"/>
  <c r="M25" i="16"/>
  <c r="N25" i="16" s="1"/>
  <c r="M26" i="16"/>
  <c r="N26" i="16" s="1"/>
  <c r="M27" i="16"/>
  <c r="N27" i="16" s="1"/>
  <c r="M28" i="16"/>
  <c r="N28" i="16" s="1"/>
  <c r="M29" i="16"/>
  <c r="N29" i="16" s="1"/>
  <c r="M30" i="16"/>
  <c r="N30" i="16" s="1"/>
  <c r="M31" i="16"/>
  <c r="N31" i="16" s="1"/>
  <c r="M32" i="16"/>
  <c r="N32" i="16" s="1"/>
  <c r="M33" i="16"/>
  <c r="N33" i="16" s="1"/>
  <c r="M34" i="16"/>
  <c r="N34" i="16" s="1"/>
  <c r="M35" i="16"/>
  <c r="N35" i="16" s="1"/>
  <c r="M36" i="16"/>
  <c r="N36" i="16" s="1"/>
  <c r="M37" i="16"/>
  <c r="N37" i="16" s="1"/>
  <c r="M38" i="16"/>
  <c r="N38" i="16" s="1"/>
  <c r="M39" i="16"/>
  <c r="N39" i="16" s="1"/>
  <c r="M40" i="16"/>
  <c r="N40" i="16" s="1"/>
  <c r="M41" i="16"/>
  <c r="N41" i="16" s="1"/>
  <c r="M42" i="16"/>
  <c r="N42" i="16" s="1"/>
  <c r="M43" i="16"/>
  <c r="N43" i="16" s="1"/>
  <c r="M44" i="16"/>
  <c r="N44" i="16" s="1"/>
  <c r="M45" i="16"/>
  <c r="N45" i="16" s="1"/>
  <c r="M46" i="16"/>
  <c r="N46" i="16" s="1"/>
  <c r="M47" i="16"/>
  <c r="N47" i="16" s="1"/>
  <c r="M48" i="16"/>
  <c r="N48" i="16" s="1"/>
  <c r="M49" i="16"/>
  <c r="N49" i="16" s="1"/>
  <c r="M50" i="16"/>
  <c r="N50" i="16" s="1"/>
  <c r="M51" i="16"/>
  <c r="N51" i="16" s="1"/>
  <c r="M52" i="16"/>
  <c r="N52" i="16" s="1"/>
  <c r="M53" i="16"/>
  <c r="N53" i="16" s="1"/>
  <c r="M54" i="16"/>
  <c r="N54" i="16" s="1"/>
  <c r="M55" i="16"/>
  <c r="N55" i="16" s="1"/>
  <c r="M56" i="16"/>
  <c r="N56" i="16" s="1"/>
  <c r="M57" i="16"/>
  <c r="N57" i="16" s="1"/>
  <c r="M58" i="16"/>
  <c r="N58" i="16" s="1"/>
  <c r="M59" i="16"/>
  <c r="N59" i="16" s="1"/>
  <c r="M60" i="16"/>
  <c r="N60" i="16" s="1"/>
  <c r="M61" i="16"/>
  <c r="N61" i="16" s="1"/>
  <c r="M62" i="16"/>
  <c r="N62" i="16" s="1"/>
  <c r="M63" i="16"/>
  <c r="N63" i="16" s="1"/>
  <c r="M64" i="16"/>
  <c r="N64" i="16" s="1"/>
  <c r="M65" i="16"/>
  <c r="N65" i="16" s="1"/>
  <c r="M66" i="16"/>
  <c r="N66" i="16" s="1"/>
  <c r="M67" i="16"/>
  <c r="N67" i="16" s="1"/>
  <c r="M68" i="16"/>
  <c r="N68" i="16" s="1"/>
  <c r="M69" i="16"/>
  <c r="N69" i="16" s="1"/>
  <c r="M70" i="16"/>
  <c r="N70" i="16" s="1"/>
  <c r="M71" i="16"/>
  <c r="N71" i="16" s="1"/>
  <c r="M72" i="16"/>
  <c r="N72" i="16" s="1"/>
  <c r="M73" i="16"/>
  <c r="N73" i="16" s="1"/>
  <c r="M74" i="16"/>
  <c r="N74" i="16" s="1"/>
  <c r="M75" i="16"/>
  <c r="N75" i="16" s="1"/>
  <c r="M76" i="16"/>
  <c r="N76" i="16" s="1"/>
  <c r="M77" i="16"/>
  <c r="N77" i="16" s="1"/>
  <c r="M78" i="16"/>
  <c r="N78" i="16" s="1"/>
  <c r="M79" i="16"/>
  <c r="N79" i="16" s="1"/>
  <c r="M80" i="16"/>
  <c r="N80" i="16" s="1"/>
  <c r="M81" i="16"/>
  <c r="N81" i="16" s="1"/>
  <c r="M82" i="16"/>
  <c r="N82" i="16" s="1"/>
  <c r="M83" i="16"/>
  <c r="N83" i="16" s="1"/>
  <c r="M84" i="16"/>
  <c r="N84" i="16" s="1"/>
  <c r="M85" i="16"/>
  <c r="N85" i="16" s="1"/>
  <c r="M86" i="16"/>
  <c r="N86" i="16" s="1"/>
  <c r="M87" i="16"/>
  <c r="N87" i="16" s="1"/>
  <c r="M88" i="16"/>
  <c r="N88" i="16" s="1"/>
  <c r="M89" i="16"/>
  <c r="N89" i="16" s="1"/>
  <c r="M90" i="16"/>
  <c r="N90" i="16" s="1"/>
  <c r="M91" i="16"/>
  <c r="N91" i="16" s="1"/>
  <c r="M92" i="16"/>
  <c r="N92" i="16" s="1"/>
  <c r="M93" i="16"/>
  <c r="N93" i="16" s="1"/>
  <c r="M94" i="16"/>
  <c r="N94" i="16" s="1"/>
  <c r="M95" i="16"/>
  <c r="N95" i="16" s="1"/>
  <c r="M96" i="16"/>
  <c r="N96" i="16" s="1"/>
  <c r="M97" i="16"/>
  <c r="N97" i="16" s="1"/>
  <c r="M98" i="16"/>
  <c r="N98" i="16" s="1"/>
  <c r="M99" i="16"/>
  <c r="N99" i="16" s="1"/>
  <c r="M100" i="16"/>
  <c r="N100" i="16" s="1"/>
  <c r="M101" i="16"/>
  <c r="N101" i="16" s="1"/>
  <c r="M102" i="16"/>
  <c r="N102" i="16" s="1"/>
  <c r="M103" i="16"/>
  <c r="N103" i="16" s="1"/>
  <c r="M104" i="16"/>
  <c r="N104" i="16" s="1"/>
  <c r="M105" i="16"/>
  <c r="N105" i="16" s="1"/>
  <c r="M106" i="16"/>
  <c r="N106" i="16" s="1"/>
  <c r="M107" i="16"/>
  <c r="N107" i="16" s="1"/>
  <c r="M108" i="16"/>
  <c r="N108" i="16" s="1"/>
  <c r="M109" i="16"/>
  <c r="N109" i="16" s="1"/>
  <c r="M110" i="16"/>
  <c r="N110" i="16" s="1"/>
  <c r="M111" i="16"/>
  <c r="N111" i="16" s="1"/>
  <c r="M112" i="16"/>
  <c r="N112" i="16" s="1"/>
  <c r="M113" i="16"/>
  <c r="N113" i="16" s="1"/>
  <c r="M114" i="16"/>
  <c r="N114" i="16" s="1"/>
  <c r="M115" i="16"/>
  <c r="N115" i="16" s="1"/>
  <c r="M116" i="16"/>
  <c r="N116" i="16" s="1"/>
  <c r="M117" i="16"/>
  <c r="N117" i="16" s="1"/>
  <c r="M118" i="16"/>
  <c r="N118" i="16" s="1"/>
  <c r="M119" i="16"/>
  <c r="N119" i="16" s="1"/>
  <c r="M120" i="16"/>
  <c r="N120" i="16" s="1"/>
  <c r="M121" i="16"/>
  <c r="N121" i="16" s="1"/>
  <c r="M122" i="16"/>
  <c r="N122" i="16" s="1"/>
  <c r="M123" i="16"/>
  <c r="N123" i="16" s="1"/>
  <c r="M124" i="16"/>
  <c r="N124" i="16" s="1"/>
  <c r="M125" i="16"/>
  <c r="N125" i="16" s="1"/>
  <c r="M126" i="16"/>
  <c r="N126" i="16" s="1"/>
  <c r="M127" i="16"/>
  <c r="N127" i="16" s="1"/>
  <c r="M128" i="16"/>
  <c r="N128" i="16" s="1"/>
  <c r="M129" i="16"/>
  <c r="N129" i="16" s="1"/>
  <c r="M130" i="16"/>
  <c r="N130" i="16" s="1"/>
  <c r="M131" i="16"/>
  <c r="N131" i="16" s="1"/>
  <c r="M132" i="16"/>
  <c r="N132" i="16" s="1"/>
  <c r="M133" i="16"/>
  <c r="N133" i="16" s="1"/>
  <c r="M134" i="16"/>
  <c r="N134" i="16" s="1"/>
  <c r="M135" i="16"/>
  <c r="N135" i="16" s="1"/>
  <c r="M136" i="16"/>
  <c r="N136" i="16" s="1"/>
  <c r="M137" i="16"/>
  <c r="N137" i="16" s="1"/>
  <c r="M138" i="16"/>
  <c r="N138" i="16" s="1"/>
  <c r="M139" i="16"/>
  <c r="N139" i="16" s="1"/>
  <c r="M140" i="16"/>
  <c r="N140" i="16" s="1"/>
  <c r="M141" i="16"/>
  <c r="N141" i="16" s="1"/>
  <c r="M142" i="16"/>
  <c r="N142" i="16" s="1"/>
  <c r="M143" i="16"/>
  <c r="N143" i="16" s="1"/>
  <c r="M144" i="16"/>
  <c r="N144" i="16" s="1"/>
  <c r="M145" i="16"/>
  <c r="N145" i="16" s="1"/>
  <c r="M146" i="16"/>
  <c r="N146" i="16" s="1"/>
  <c r="M147" i="16"/>
  <c r="N147" i="16" s="1"/>
  <c r="M148" i="16"/>
  <c r="N148" i="16" s="1"/>
  <c r="M149" i="16"/>
  <c r="N149" i="16" s="1"/>
  <c r="M150" i="16"/>
  <c r="N150" i="16" s="1"/>
  <c r="M151" i="16"/>
  <c r="N151" i="16" s="1"/>
  <c r="M152" i="16"/>
  <c r="N152" i="16" s="1"/>
  <c r="M153" i="16"/>
  <c r="N153" i="16" s="1"/>
  <c r="M154" i="16"/>
  <c r="N154" i="16" s="1"/>
  <c r="M155" i="16"/>
  <c r="N155" i="16" s="1"/>
  <c r="M156" i="16"/>
  <c r="N156" i="16" s="1"/>
  <c r="M157" i="16"/>
  <c r="N157" i="16" s="1"/>
  <c r="M158" i="16"/>
  <c r="N158" i="16" s="1"/>
  <c r="M159" i="16"/>
  <c r="N159" i="16" s="1"/>
  <c r="M160" i="16"/>
  <c r="N160" i="16" s="1"/>
  <c r="M161" i="16"/>
  <c r="N161" i="16" s="1"/>
  <c r="M162" i="16"/>
  <c r="N162" i="16" s="1"/>
  <c r="M163" i="16"/>
  <c r="N163" i="16" s="1"/>
  <c r="M164" i="16"/>
  <c r="N164" i="16" s="1"/>
  <c r="M165" i="16"/>
  <c r="N165" i="16" s="1"/>
  <c r="M166" i="16"/>
  <c r="N166" i="16" s="1"/>
  <c r="M167" i="16"/>
  <c r="N167" i="16" s="1"/>
  <c r="M168" i="16"/>
  <c r="N168" i="16" s="1"/>
  <c r="M169" i="16"/>
  <c r="N169" i="16" s="1"/>
  <c r="M170" i="16"/>
  <c r="N170" i="16" s="1"/>
  <c r="M171" i="16"/>
  <c r="N171" i="16" s="1"/>
  <c r="M172" i="16"/>
  <c r="N172" i="16" s="1"/>
  <c r="M173" i="16"/>
  <c r="N173" i="16" s="1"/>
  <c r="M174" i="16"/>
  <c r="N174" i="16" s="1"/>
  <c r="M175" i="16"/>
  <c r="N175" i="16" s="1"/>
  <c r="M176" i="16"/>
  <c r="N176" i="16" s="1"/>
  <c r="M177" i="16"/>
  <c r="N177" i="16" s="1"/>
  <c r="M178" i="16"/>
  <c r="N178" i="16" s="1"/>
  <c r="M179" i="16"/>
  <c r="N179" i="16" s="1"/>
  <c r="M180" i="16"/>
  <c r="N180" i="16" s="1"/>
  <c r="M181" i="16"/>
  <c r="N181" i="16" s="1"/>
  <c r="M182" i="16"/>
  <c r="N182" i="16" s="1"/>
  <c r="M183" i="16"/>
  <c r="N183" i="16" s="1"/>
  <c r="M184" i="16"/>
  <c r="N184" i="16" s="1"/>
  <c r="M185" i="16"/>
  <c r="N185" i="16" s="1"/>
  <c r="M186" i="16"/>
  <c r="N186" i="16" s="1"/>
  <c r="M187" i="16"/>
  <c r="N187" i="16" s="1"/>
  <c r="M188" i="16"/>
  <c r="N188" i="16" s="1"/>
  <c r="M189" i="16"/>
  <c r="N189" i="16" s="1"/>
  <c r="M190" i="16"/>
  <c r="N190" i="16" s="1"/>
  <c r="M191" i="16"/>
  <c r="N191" i="16" s="1"/>
  <c r="M192" i="16"/>
  <c r="N192" i="16" s="1"/>
  <c r="M193" i="16"/>
  <c r="N193" i="16" s="1"/>
  <c r="M194" i="16"/>
  <c r="N194" i="16" s="1"/>
  <c r="M195" i="16"/>
  <c r="N195" i="16" s="1"/>
  <c r="M196" i="16"/>
  <c r="N196" i="16" s="1"/>
  <c r="M197" i="16"/>
  <c r="N197" i="16" s="1"/>
  <c r="M198" i="16"/>
  <c r="N198" i="16" s="1"/>
  <c r="M199" i="16"/>
  <c r="N199" i="16" s="1"/>
  <c r="M200" i="16"/>
  <c r="N200" i="16" s="1"/>
  <c r="M5" i="16"/>
  <c r="N5" i="16" s="1"/>
  <c r="F6" i="16"/>
  <c r="F7" i="16"/>
  <c r="F8" i="16"/>
  <c r="F9" i="16"/>
  <c r="F10" i="16"/>
  <c r="F11" i="16"/>
  <c r="F12" i="16"/>
  <c r="F13" i="16"/>
  <c r="F14" i="16"/>
  <c r="F15" i="16"/>
  <c r="F16" i="16"/>
  <c r="F17" i="16"/>
  <c r="F18" i="16"/>
  <c r="F19" i="16"/>
  <c r="F20" i="16"/>
  <c r="F21" i="16"/>
  <c r="F22" i="16"/>
  <c r="F23" i="16"/>
  <c r="F24" i="16"/>
  <c r="F25" i="16"/>
  <c r="F26" i="16"/>
  <c r="F27" i="16"/>
  <c r="F28" i="16"/>
  <c r="F29" i="16"/>
  <c r="F30" i="16"/>
  <c r="F31" i="16"/>
  <c r="F32" i="16"/>
  <c r="F33" i="16"/>
  <c r="F34" i="16"/>
  <c r="F35" i="16"/>
  <c r="F36" i="16"/>
  <c r="F37" i="16"/>
  <c r="F38" i="16"/>
  <c r="F39" i="16"/>
  <c r="F40" i="16"/>
  <c r="F41" i="16"/>
  <c r="F42" i="16"/>
  <c r="F43" i="16"/>
  <c r="F44" i="16"/>
  <c r="F45" i="16"/>
  <c r="F46" i="16"/>
  <c r="F47" i="16"/>
  <c r="F48" i="16"/>
  <c r="F49" i="16"/>
  <c r="F50" i="16"/>
  <c r="F51" i="16"/>
  <c r="F52" i="16"/>
  <c r="F53" i="16"/>
  <c r="F54" i="16"/>
  <c r="F55" i="16"/>
  <c r="F56" i="16"/>
  <c r="F57"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4"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59"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0" i="16"/>
  <c r="F5" i="16"/>
  <c r="B19" i="17"/>
  <c r="D3" i="17"/>
  <c r="E3" i="17"/>
  <c r="F3" i="17"/>
  <c r="G3" i="17"/>
  <c r="H3" i="17"/>
  <c r="I3" i="17"/>
  <c r="J3" i="17"/>
  <c r="K3" i="17"/>
  <c r="L3" i="17"/>
  <c r="M3" i="17"/>
  <c r="N3" i="17"/>
  <c r="O3" i="17"/>
  <c r="P3" i="17"/>
  <c r="Q3" i="17"/>
  <c r="R3" i="17"/>
  <c r="S3" i="17"/>
  <c r="T3" i="17"/>
  <c r="U3" i="17"/>
  <c r="V3" i="17"/>
  <c r="W3" i="17"/>
  <c r="X3" i="17"/>
  <c r="Y3" i="17"/>
  <c r="Z3" i="17"/>
  <c r="C3" i="17"/>
  <c r="N2" i="17"/>
  <c r="O2" i="17"/>
  <c r="P2" i="17"/>
  <c r="Q2" i="17"/>
  <c r="R2" i="17"/>
  <c r="S2" i="17"/>
  <c r="T2" i="17"/>
  <c r="U2" i="17"/>
  <c r="V2" i="17"/>
  <c r="W2" i="17"/>
  <c r="X2" i="17"/>
  <c r="Y2" i="17"/>
  <c r="Z2" i="17"/>
  <c r="AA2" i="17"/>
  <c r="C2" i="17"/>
  <c r="D2" i="17"/>
  <c r="E2" i="17"/>
  <c r="F2" i="17"/>
  <c r="G2" i="17"/>
  <c r="H2" i="17"/>
  <c r="I2" i="17"/>
  <c r="J2" i="17"/>
  <c r="K2" i="17"/>
  <c r="L2" i="17"/>
  <c r="M2" i="17"/>
  <c r="D39" i="17"/>
  <c r="H24" i="17"/>
  <c r="C32" i="17"/>
  <c r="N24" i="17"/>
  <c r="E39" i="17"/>
  <c r="F45" i="17"/>
  <c r="J24" i="17"/>
  <c r="Q25" i="17"/>
  <c r="L25" i="17"/>
  <c r="C45" i="17"/>
  <c r="K25" i="17"/>
  <c r="I24" i="17"/>
  <c r="S25" i="17"/>
  <c r="G25" i="17"/>
  <c r="D31" i="17"/>
  <c r="D32" i="17"/>
  <c r="H25" i="17"/>
  <c r="O25" i="17"/>
  <c r="C46" i="17"/>
  <c r="C31" i="17"/>
  <c r="K24" i="17"/>
  <c r="R25" i="17"/>
  <c r="E46" i="17"/>
  <c r="E38" i="17"/>
  <c r="M25" i="17"/>
  <c r="F39" i="17"/>
  <c r="F32" i="17"/>
  <c r="G24" i="17"/>
  <c r="D25" i="17"/>
  <c r="C39" i="17"/>
  <c r="E45" i="17"/>
  <c r="F31" i="17"/>
  <c r="U25" i="17"/>
  <c r="D24" i="17"/>
  <c r="D45" i="17"/>
  <c r="L24" i="17"/>
  <c r="P25" i="17"/>
  <c r="C38" i="17"/>
  <c r="C25" i="17"/>
  <c r="N25" i="17"/>
  <c r="E25" i="17"/>
  <c r="E31" i="17"/>
  <c r="I25" i="17"/>
  <c r="F25" i="17"/>
  <c r="F24" i="17"/>
  <c r="J25" i="17"/>
  <c r="D38" i="17"/>
  <c r="O24" i="17"/>
  <c r="T25" i="17"/>
  <c r="C24" i="17"/>
  <c r="E24" i="17"/>
  <c r="M24" i="17"/>
  <c r="F46" i="17"/>
  <c r="D46" i="17"/>
  <c r="P24" i="17"/>
  <c r="E32" i="17"/>
  <c r="F38" i="17"/>
  <c r="AJ4" i="17" l="1"/>
  <c r="AJ8" i="17"/>
  <c r="AJ5" i="17"/>
  <c r="AJ9" i="17"/>
  <c r="AJ6" i="17"/>
  <c r="AJ10" i="17"/>
  <c r="AJ7" i="17"/>
  <c r="AA197" i="16"/>
  <c r="AB197" i="16"/>
  <c r="AC197" i="16"/>
  <c r="AD197" i="16"/>
  <c r="AA193" i="16"/>
  <c r="AB193" i="16"/>
  <c r="AC193" i="16"/>
  <c r="AD193" i="16"/>
  <c r="AA185" i="16"/>
  <c r="AB185" i="16"/>
  <c r="AC185" i="16"/>
  <c r="AD185" i="16"/>
  <c r="AA177" i="16"/>
  <c r="AB177" i="16"/>
  <c r="AC177" i="16"/>
  <c r="AD177" i="16"/>
  <c r="AA169" i="16"/>
  <c r="AB169" i="16"/>
  <c r="AC169" i="16"/>
  <c r="AD169" i="16"/>
  <c r="AA161" i="16"/>
  <c r="AB161" i="16"/>
  <c r="AC161" i="16"/>
  <c r="AD161" i="16"/>
  <c r="AA153" i="16"/>
  <c r="AB153" i="16"/>
  <c r="AC153" i="16"/>
  <c r="AD153" i="16"/>
  <c r="AA149" i="16"/>
  <c r="AB149" i="16"/>
  <c r="AC149" i="16"/>
  <c r="AD149" i="16"/>
  <c r="AA141" i="16"/>
  <c r="AB141" i="16"/>
  <c r="AC141" i="16"/>
  <c r="AD141" i="16"/>
  <c r="AA133" i="16"/>
  <c r="AB133" i="16"/>
  <c r="AC133" i="16"/>
  <c r="AD133" i="16"/>
  <c r="AA125" i="16"/>
  <c r="AB125" i="16"/>
  <c r="AC125" i="16"/>
  <c r="AD125" i="16"/>
  <c r="AA117" i="16"/>
  <c r="AB117" i="16"/>
  <c r="AC117" i="16"/>
  <c r="AD117" i="16"/>
  <c r="AA105" i="16"/>
  <c r="AB105" i="16"/>
  <c r="AC105" i="16"/>
  <c r="AD105" i="16"/>
  <c r="AA97" i="16"/>
  <c r="AB97" i="16"/>
  <c r="AC97" i="16"/>
  <c r="AD97" i="16"/>
  <c r="AD89" i="16"/>
  <c r="AB89" i="16"/>
  <c r="AA89" i="16"/>
  <c r="AC89" i="16"/>
  <c r="AD81" i="16"/>
  <c r="AB81" i="16"/>
  <c r="AA81" i="16"/>
  <c r="AC81" i="16"/>
  <c r="AD73" i="16"/>
  <c r="AB73" i="16"/>
  <c r="AA73" i="16"/>
  <c r="AC73" i="16"/>
  <c r="AD65" i="16"/>
  <c r="AB65" i="16"/>
  <c r="AA65" i="16"/>
  <c r="AC65" i="16"/>
  <c r="AD57" i="16"/>
  <c r="AB57" i="16"/>
  <c r="AA57" i="16"/>
  <c r="AC57" i="16"/>
  <c r="AD49" i="16"/>
  <c r="AB49" i="16"/>
  <c r="AA49" i="16"/>
  <c r="AC49" i="16"/>
  <c r="AD41" i="16"/>
  <c r="AB41" i="16"/>
  <c r="AA41" i="16"/>
  <c r="AC41" i="16"/>
  <c r="AD33" i="16"/>
  <c r="AB33" i="16"/>
  <c r="AA33" i="16"/>
  <c r="AC33" i="16"/>
  <c r="AD29" i="16"/>
  <c r="AB29" i="16"/>
  <c r="AC29" i="16"/>
  <c r="AA29" i="16"/>
  <c r="AD21" i="16"/>
  <c r="AB21" i="16"/>
  <c r="AA21" i="16"/>
  <c r="AC21" i="16"/>
  <c r="AD13" i="16"/>
  <c r="AB13" i="16"/>
  <c r="AC13" i="16"/>
  <c r="AA13" i="16"/>
  <c r="AD9" i="16"/>
  <c r="AB9" i="16"/>
  <c r="AA9" i="16"/>
  <c r="AC9" i="16"/>
  <c r="AC200" i="16"/>
  <c r="AD200" i="16"/>
  <c r="AB200" i="16"/>
  <c r="AA200" i="16"/>
  <c r="AA192" i="16"/>
  <c r="AB192" i="16"/>
  <c r="AC192" i="16"/>
  <c r="AD192" i="16"/>
  <c r="AA184" i="16"/>
  <c r="AB184" i="16"/>
  <c r="AC184" i="16"/>
  <c r="AD184" i="16"/>
  <c r="AA176" i="16"/>
  <c r="AB176" i="16"/>
  <c r="AC176" i="16"/>
  <c r="AD176" i="16"/>
  <c r="AA168" i="16"/>
  <c r="AB168" i="16"/>
  <c r="AC168" i="16"/>
  <c r="AD168" i="16"/>
  <c r="AA160" i="16"/>
  <c r="AB160" i="16"/>
  <c r="AD160" i="16"/>
  <c r="AC160" i="16"/>
  <c r="AA152" i="16"/>
  <c r="AB152" i="16"/>
  <c r="AC152" i="16"/>
  <c r="AD152" i="16"/>
  <c r="AA144" i="16"/>
  <c r="AB144" i="16"/>
  <c r="AD144" i="16"/>
  <c r="AC144" i="16"/>
  <c r="AA136" i="16"/>
  <c r="AB136" i="16"/>
  <c r="AC136" i="16"/>
  <c r="AD136" i="16"/>
  <c r="AA132" i="16"/>
  <c r="AB132" i="16"/>
  <c r="AC132" i="16"/>
  <c r="AD132" i="16"/>
  <c r="AA124" i="16"/>
  <c r="AB124" i="16"/>
  <c r="AC124" i="16"/>
  <c r="AD124" i="16"/>
  <c r="AA116" i="16"/>
  <c r="AB116" i="16"/>
  <c r="AC116" i="16"/>
  <c r="AD116" i="16"/>
  <c r="AA108" i="16"/>
  <c r="AB108" i="16"/>
  <c r="AC108" i="16"/>
  <c r="AD108" i="16"/>
  <c r="AA96" i="16"/>
  <c r="AB96" i="16"/>
  <c r="AC96" i="16"/>
  <c r="AD96" i="16"/>
  <c r="AD88" i="16"/>
  <c r="AA88" i="16"/>
  <c r="AB88" i="16"/>
  <c r="AC88" i="16"/>
  <c r="AD80" i="16"/>
  <c r="AA80" i="16"/>
  <c r="AB80" i="16"/>
  <c r="AC80" i="16"/>
  <c r="AD72" i="16"/>
  <c r="AA72" i="16"/>
  <c r="AB72" i="16"/>
  <c r="AC72" i="16"/>
  <c r="AD64" i="16"/>
  <c r="AA64" i="16"/>
  <c r="AB64" i="16"/>
  <c r="AC64" i="16"/>
  <c r="AD56" i="16"/>
  <c r="AA56" i="16"/>
  <c r="AB56" i="16"/>
  <c r="AC56" i="16"/>
  <c r="AD48" i="16"/>
  <c r="AA48" i="16"/>
  <c r="AB48" i="16"/>
  <c r="AC48" i="16"/>
  <c r="AD40" i="16"/>
  <c r="AA40" i="16"/>
  <c r="AB40" i="16"/>
  <c r="AC40" i="16"/>
  <c r="AD32" i="16"/>
  <c r="AA32" i="16"/>
  <c r="AB32" i="16"/>
  <c r="AC32" i="16"/>
  <c r="AD24" i="16"/>
  <c r="AA24" i="16"/>
  <c r="AB24" i="16"/>
  <c r="AC24" i="16"/>
  <c r="AD16" i="16"/>
  <c r="AA16" i="16"/>
  <c r="AB16" i="16"/>
  <c r="AC16" i="16"/>
  <c r="AC199" i="16"/>
  <c r="AD199" i="16"/>
  <c r="AA199" i="16"/>
  <c r="AB199" i="16"/>
  <c r="AA195" i="16"/>
  <c r="AD195" i="16"/>
  <c r="AB195" i="16"/>
  <c r="AC195" i="16"/>
  <c r="AA191" i="16"/>
  <c r="AD191" i="16"/>
  <c r="AB191" i="16"/>
  <c r="AC191" i="16"/>
  <c r="AA183" i="16"/>
  <c r="AD183" i="16"/>
  <c r="AB183" i="16"/>
  <c r="AC183" i="16"/>
  <c r="AA179" i="16"/>
  <c r="AD179" i="16"/>
  <c r="AC179" i="16"/>
  <c r="AB179" i="16"/>
  <c r="AA175" i="16"/>
  <c r="AD175" i="16"/>
  <c r="AB175" i="16"/>
  <c r="AC175" i="16"/>
  <c r="AA167" i="16"/>
  <c r="AD167" i="16"/>
  <c r="AB167" i="16"/>
  <c r="AC167" i="16"/>
  <c r="AA163" i="16"/>
  <c r="AD163" i="16"/>
  <c r="AB163" i="16"/>
  <c r="AC163" i="16"/>
  <c r="AA159" i="16"/>
  <c r="AD159" i="16"/>
  <c r="AB159" i="16"/>
  <c r="AC159" i="16"/>
  <c r="AA151" i="16"/>
  <c r="AD151" i="16"/>
  <c r="AB151" i="16"/>
  <c r="AC151" i="16"/>
  <c r="AA147" i="16"/>
  <c r="AD147" i="16"/>
  <c r="AB147" i="16"/>
  <c r="AC147" i="16"/>
  <c r="AA143" i="16"/>
  <c r="AD143" i="16"/>
  <c r="AB143" i="16"/>
  <c r="AC143" i="16"/>
  <c r="AA135" i="16"/>
  <c r="AD135" i="16"/>
  <c r="AB135" i="16"/>
  <c r="AC135" i="16"/>
  <c r="AA131" i="16"/>
  <c r="AD131" i="16"/>
  <c r="AB131" i="16"/>
  <c r="AC131" i="16"/>
  <c r="AA127" i="16"/>
  <c r="AD127" i="16"/>
  <c r="AB127" i="16"/>
  <c r="AC127" i="16"/>
  <c r="AA119" i="16"/>
  <c r="AD119" i="16"/>
  <c r="AB119" i="16"/>
  <c r="AC119" i="16"/>
  <c r="AA115" i="16"/>
  <c r="AD115" i="16"/>
  <c r="AB115" i="16"/>
  <c r="AC115" i="16"/>
  <c r="AA111" i="16"/>
  <c r="AD111" i="16"/>
  <c r="AB111" i="16"/>
  <c r="AC111" i="16"/>
  <c r="AA103" i="16"/>
  <c r="AD103" i="16"/>
  <c r="AB103" i="16"/>
  <c r="AC103" i="16"/>
  <c r="AA99" i="16"/>
  <c r="AD99" i="16"/>
  <c r="AB99" i="16"/>
  <c r="AC99" i="16"/>
  <c r="AA95" i="16"/>
  <c r="AD95" i="16"/>
  <c r="AB95" i="16"/>
  <c r="AC95" i="16"/>
  <c r="AD91" i="16"/>
  <c r="AC91" i="16"/>
  <c r="AA91" i="16"/>
  <c r="AB91" i="16"/>
  <c r="AD83" i="16"/>
  <c r="AA83" i="16"/>
  <c r="AB83" i="16"/>
  <c r="AC83" i="16"/>
  <c r="AD79" i="16"/>
  <c r="AB79" i="16"/>
  <c r="AC79" i="16"/>
  <c r="AA79" i="16"/>
  <c r="AD75" i="16"/>
  <c r="AC75" i="16"/>
  <c r="AA75" i="16"/>
  <c r="AB75" i="16"/>
  <c r="AD71" i="16"/>
  <c r="AA71" i="16"/>
  <c r="AB71" i="16"/>
  <c r="AC71" i="16"/>
  <c r="AD63" i="16"/>
  <c r="AB63" i="16"/>
  <c r="AC63" i="16"/>
  <c r="AA63" i="16"/>
  <c r="AD59" i="16"/>
  <c r="AC59" i="16"/>
  <c r="AA59" i="16"/>
  <c r="AB59" i="16"/>
  <c r="AD55" i="16"/>
  <c r="AA55" i="16"/>
  <c r="AB55" i="16"/>
  <c r="AC55" i="16"/>
  <c r="AD51" i="16"/>
  <c r="AA51" i="16"/>
  <c r="AB51" i="16"/>
  <c r="AC51" i="16"/>
  <c r="AD43" i="16"/>
  <c r="AC43" i="16"/>
  <c r="AA43" i="16"/>
  <c r="AB43" i="16"/>
  <c r="AD39" i="16"/>
  <c r="AA39" i="16"/>
  <c r="AB39" i="16"/>
  <c r="AC39" i="16"/>
  <c r="AD35" i="16"/>
  <c r="AA35" i="16"/>
  <c r="AB35" i="16"/>
  <c r="AC35" i="16"/>
  <c r="AD31" i="16"/>
  <c r="AB31" i="16"/>
  <c r="AC31" i="16"/>
  <c r="AA31" i="16"/>
  <c r="AD27" i="16"/>
  <c r="AC27" i="16"/>
  <c r="AA27" i="16"/>
  <c r="AB27" i="16"/>
  <c r="AD19" i="16"/>
  <c r="AA19" i="16"/>
  <c r="AB19" i="16"/>
  <c r="AC19" i="16"/>
  <c r="AD15" i="16"/>
  <c r="AB15" i="16"/>
  <c r="AC15" i="16"/>
  <c r="AA15" i="16"/>
  <c r="AD11" i="16"/>
  <c r="AC11" i="16"/>
  <c r="AA11" i="16"/>
  <c r="AB11" i="16"/>
  <c r="AD7" i="16"/>
  <c r="AA7" i="16"/>
  <c r="AB7" i="16"/>
  <c r="AC7" i="16"/>
  <c r="AA198" i="16"/>
  <c r="AC198" i="16"/>
  <c r="AD198" i="16"/>
  <c r="AB198" i="16"/>
  <c r="AA194" i="16"/>
  <c r="AC194" i="16"/>
  <c r="AD194" i="16"/>
  <c r="AB194" i="16"/>
  <c r="AA190" i="16"/>
  <c r="AC190" i="16"/>
  <c r="AD190" i="16"/>
  <c r="AB190" i="16"/>
  <c r="AA186" i="16"/>
  <c r="AC186" i="16"/>
  <c r="AD186" i="16"/>
  <c r="AB186" i="16"/>
  <c r="AA182" i="16"/>
  <c r="AC182" i="16"/>
  <c r="AD182" i="16"/>
  <c r="AB182" i="16"/>
  <c r="AA178" i="16"/>
  <c r="AC178" i="16"/>
  <c r="AD178" i="16"/>
  <c r="AB178" i="16"/>
  <c r="AA174" i="16"/>
  <c r="AC174" i="16"/>
  <c r="AD174" i="16"/>
  <c r="AB174" i="16"/>
  <c r="AA170" i="16"/>
  <c r="AC170" i="16"/>
  <c r="AD170" i="16"/>
  <c r="AB170" i="16"/>
  <c r="AA166" i="16"/>
  <c r="AC166" i="16"/>
  <c r="AD166" i="16"/>
  <c r="AB166" i="16"/>
  <c r="AA162" i="16"/>
  <c r="AC162" i="16"/>
  <c r="AD162" i="16"/>
  <c r="AB162" i="16"/>
  <c r="AA158" i="16"/>
  <c r="AC158" i="16"/>
  <c r="AD158" i="16"/>
  <c r="AB158" i="16"/>
  <c r="AA154" i="16"/>
  <c r="AC154" i="16"/>
  <c r="AD154" i="16"/>
  <c r="AB154" i="16"/>
  <c r="AA150" i="16"/>
  <c r="AC150" i="16"/>
  <c r="AD150" i="16"/>
  <c r="AB150" i="16"/>
  <c r="AA146" i="16"/>
  <c r="AC146" i="16"/>
  <c r="AD146" i="16"/>
  <c r="AB146" i="16"/>
  <c r="AA142" i="16"/>
  <c r="AC142" i="16"/>
  <c r="AD142" i="16"/>
  <c r="AB142" i="16"/>
  <c r="AA138" i="16"/>
  <c r="AC138" i="16"/>
  <c r="AD138" i="16"/>
  <c r="AB138" i="16"/>
  <c r="AA134" i="16"/>
  <c r="AC134" i="16"/>
  <c r="AD134" i="16"/>
  <c r="AB134" i="16"/>
  <c r="AA130" i="16"/>
  <c r="AC130" i="16"/>
  <c r="AD130" i="16"/>
  <c r="AB130" i="16"/>
  <c r="AA126" i="16"/>
  <c r="AC126" i="16"/>
  <c r="AD126" i="16"/>
  <c r="AB126" i="16"/>
  <c r="AA122" i="16"/>
  <c r="AC122" i="16"/>
  <c r="AD122" i="16"/>
  <c r="AB122" i="16"/>
  <c r="AA118" i="16"/>
  <c r="AC118" i="16"/>
  <c r="AD118" i="16"/>
  <c r="AB118" i="16"/>
  <c r="AA114" i="16"/>
  <c r="AC114" i="16"/>
  <c r="AD114" i="16"/>
  <c r="AB114" i="16"/>
  <c r="AA110" i="16"/>
  <c r="AC110" i="16"/>
  <c r="AD110" i="16"/>
  <c r="AB110" i="16"/>
  <c r="AA106" i="16"/>
  <c r="AC106" i="16"/>
  <c r="AD106" i="16"/>
  <c r="AB106" i="16"/>
  <c r="AA102" i="16"/>
  <c r="AC102" i="16"/>
  <c r="AD102" i="16"/>
  <c r="AB102" i="16"/>
  <c r="AA98" i="16"/>
  <c r="AC98" i="16"/>
  <c r="AD98" i="16"/>
  <c r="AB98" i="16"/>
  <c r="AA94" i="16"/>
  <c r="AC94" i="16"/>
  <c r="AD94" i="16"/>
  <c r="AB94" i="16"/>
  <c r="AD90" i="16"/>
  <c r="AC90" i="16"/>
  <c r="AA90" i="16"/>
  <c r="AB90" i="16"/>
  <c r="AD86" i="16"/>
  <c r="AC86" i="16"/>
  <c r="AB86" i="16"/>
  <c r="AA86" i="16"/>
  <c r="AD82" i="16"/>
  <c r="AC82" i="16"/>
  <c r="AA82" i="16"/>
  <c r="AB82" i="16"/>
  <c r="AD78" i="16"/>
  <c r="AC78" i="16"/>
  <c r="AA78" i="16"/>
  <c r="AB78" i="16"/>
  <c r="AD74" i="16"/>
  <c r="AC74" i="16"/>
  <c r="AA74" i="16"/>
  <c r="AB74" i="16"/>
  <c r="AD70" i="16"/>
  <c r="AC70" i="16"/>
  <c r="AB70" i="16"/>
  <c r="AA70" i="16"/>
  <c r="AD66" i="16"/>
  <c r="AC66" i="16"/>
  <c r="AA66" i="16"/>
  <c r="AB66" i="16"/>
  <c r="AD62" i="16"/>
  <c r="AC62" i="16"/>
  <c r="AA62" i="16"/>
  <c r="AB62" i="16"/>
  <c r="AD58" i="16"/>
  <c r="AC58" i="16"/>
  <c r="AA58" i="16"/>
  <c r="AB58" i="16"/>
  <c r="AD54" i="16"/>
  <c r="AC54" i="16"/>
  <c r="AB54" i="16"/>
  <c r="AA54" i="16"/>
  <c r="AD50" i="16"/>
  <c r="AC50" i="16"/>
  <c r="AA50" i="16"/>
  <c r="AB50" i="16"/>
  <c r="AD46" i="16"/>
  <c r="AC46" i="16"/>
  <c r="AA46" i="16"/>
  <c r="AB46" i="16"/>
  <c r="AD42" i="16"/>
  <c r="AC42" i="16"/>
  <c r="AA42" i="16"/>
  <c r="AB42" i="16"/>
  <c r="AD38" i="16"/>
  <c r="AC38" i="16"/>
  <c r="AB38" i="16"/>
  <c r="AA38" i="16"/>
  <c r="AD34" i="16"/>
  <c r="AC34" i="16"/>
  <c r="AA34" i="16"/>
  <c r="AB34" i="16"/>
  <c r="AD30" i="16"/>
  <c r="AC30" i="16"/>
  <c r="AA30" i="16"/>
  <c r="AB30" i="16"/>
  <c r="AD26" i="16"/>
  <c r="AC26" i="16"/>
  <c r="AA26" i="16"/>
  <c r="AB26" i="16"/>
  <c r="AD22" i="16"/>
  <c r="AC22" i="16"/>
  <c r="AB22" i="16"/>
  <c r="AA22" i="16"/>
  <c r="AD18" i="16"/>
  <c r="AC18" i="16"/>
  <c r="AA18" i="16"/>
  <c r="AB18" i="16"/>
  <c r="AD14" i="16"/>
  <c r="AC14" i="16"/>
  <c r="AA14" i="16"/>
  <c r="AB14" i="16"/>
  <c r="AD10" i="16"/>
  <c r="AC10" i="16"/>
  <c r="AA10" i="16"/>
  <c r="AB10" i="16"/>
  <c r="AD6" i="16"/>
  <c r="AA6" i="16"/>
  <c r="AB6" i="16"/>
  <c r="AC6" i="16"/>
  <c r="AD5" i="16"/>
  <c r="AA5" i="16"/>
  <c r="AB5" i="16"/>
  <c r="AC5" i="16"/>
  <c r="AA189" i="16"/>
  <c r="AB189" i="16"/>
  <c r="AC189" i="16"/>
  <c r="AD189" i="16"/>
  <c r="AA181" i="16"/>
  <c r="AB181" i="16"/>
  <c r="AC181" i="16"/>
  <c r="AD181" i="16"/>
  <c r="AA173" i="16"/>
  <c r="AB173" i="16"/>
  <c r="AC173" i="16"/>
  <c r="AD173" i="16"/>
  <c r="AA165" i="16"/>
  <c r="AB165" i="16"/>
  <c r="AC165" i="16"/>
  <c r="AD165" i="16"/>
  <c r="AA157" i="16"/>
  <c r="AB157" i="16"/>
  <c r="AC157" i="16"/>
  <c r="AD157" i="16"/>
  <c r="AA145" i="16"/>
  <c r="AB145" i="16"/>
  <c r="AC145" i="16"/>
  <c r="AD145" i="16"/>
  <c r="AA137" i="16"/>
  <c r="AB137" i="16"/>
  <c r="AC137" i="16"/>
  <c r="AD137" i="16"/>
  <c r="AA129" i="16"/>
  <c r="AB129" i="16"/>
  <c r="AC129" i="16"/>
  <c r="AD129" i="16"/>
  <c r="AA121" i="16"/>
  <c r="AB121" i="16"/>
  <c r="AC121" i="16"/>
  <c r="AD121" i="16"/>
  <c r="AA113" i="16"/>
  <c r="AB113" i="16"/>
  <c r="AC113" i="16"/>
  <c r="AD113" i="16"/>
  <c r="AA109" i="16"/>
  <c r="AB109" i="16"/>
  <c r="AC109" i="16"/>
  <c r="AD109" i="16"/>
  <c r="AA101" i="16"/>
  <c r="AB101" i="16"/>
  <c r="AC101" i="16"/>
  <c r="AD101" i="16"/>
  <c r="AA93" i="16"/>
  <c r="AB93" i="16"/>
  <c r="AC93" i="16"/>
  <c r="AD93" i="16"/>
  <c r="AD85" i="16"/>
  <c r="AB85" i="16"/>
  <c r="AA85" i="16"/>
  <c r="AC85" i="16"/>
  <c r="AD77" i="16"/>
  <c r="AB77" i="16"/>
  <c r="AC77" i="16"/>
  <c r="AA77" i="16"/>
  <c r="AD69" i="16"/>
  <c r="AB69" i="16"/>
  <c r="AA69" i="16"/>
  <c r="AC69" i="16"/>
  <c r="AD61" i="16"/>
  <c r="AB61" i="16"/>
  <c r="AC61" i="16"/>
  <c r="AA61" i="16"/>
  <c r="AD53" i="16"/>
  <c r="AB53" i="16"/>
  <c r="AA53" i="16"/>
  <c r="AC53" i="16"/>
  <c r="AD45" i="16"/>
  <c r="AB45" i="16"/>
  <c r="AC45" i="16"/>
  <c r="AA45" i="16"/>
  <c r="AD37" i="16"/>
  <c r="AB37" i="16"/>
  <c r="AA37" i="16"/>
  <c r="AC37" i="16"/>
  <c r="AD25" i="16"/>
  <c r="AB25" i="16"/>
  <c r="AA25" i="16"/>
  <c r="AC25" i="16"/>
  <c r="AD17" i="16"/>
  <c r="AB17" i="16"/>
  <c r="AA17" i="16"/>
  <c r="AC17" i="16"/>
  <c r="AA196" i="16"/>
  <c r="AB196" i="16"/>
  <c r="AC196" i="16"/>
  <c r="AD196" i="16"/>
  <c r="AA188" i="16"/>
  <c r="AB188" i="16"/>
  <c r="AC188" i="16"/>
  <c r="AD188" i="16"/>
  <c r="AA180" i="16"/>
  <c r="AB180" i="16"/>
  <c r="AC180" i="16"/>
  <c r="AD180" i="16"/>
  <c r="AA172" i="16"/>
  <c r="AB172" i="16"/>
  <c r="AC172" i="16"/>
  <c r="AD172" i="16"/>
  <c r="AA164" i="16"/>
  <c r="AB164" i="16"/>
  <c r="AC164" i="16"/>
  <c r="AD164" i="16"/>
  <c r="AA156" i="16"/>
  <c r="AB156" i="16"/>
  <c r="AC156" i="16"/>
  <c r="AD156" i="16"/>
  <c r="AA148" i="16"/>
  <c r="AB148" i="16"/>
  <c r="AC148" i="16"/>
  <c r="AD148" i="16"/>
  <c r="AA140" i="16"/>
  <c r="AB140" i="16"/>
  <c r="AC140" i="16"/>
  <c r="AD140" i="16"/>
  <c r="AA128" i="16"/>
  <c r="AB128" i="16"/>
  <c r="AC128" i="16"/>
  <c r="AD128" i="16"/>
  <c r="AA120" i="16"/>
  <c r="AB120" i="16"/>
  <c r="AC120" i="16"/>
  <c r="AD120" i="16"/>
  <c r="AA112" i="16"/>
  <c r="AB112" i="16"/>
  <c r="AC112" i="16"/>
  <c r="AD112" i="16"/>
  <c r="AA104" i="16"/>
  <c r="AB104" i="16"/>
  <c r="AC104" i="16"/>
  <c r="AD104" i="16"/>
  <c r="AA100" i="16"/>
  <c r="AB100" i="16"/>
  <c r="AC100" i="16"/>
  <c r="AD100" i="16"/>
  <c r="AA92" i="16"/>
  <c r="AB92" i="16"/>
  <c r="AC92" i="16"/>
  <c r="AD92" i="16"/>
  <c r="AD84" i="16"/>
  <c r="AA84" i="16"/>
  <c r="AC84" i="16"/>
  <c r="AB84" i="16"/>
  <c r="AD76" i="16"/>
  <c r="AA76" i="16"/>
  <c r="AB76" i="16"/>
  <c r="AC76" i="16"/>
  <c r="AD68" i="16"/>
  <c r="AA68" i="16"/>
  <c r="AC68" i="16"/>
  <c r="AB68" i="16"/>
  <c r="AD60" i="16"/>
  <c r="AA60" i="16"/>
  <c r="AB60" i="16"/>
  <c r="AC60" i="16"/>
  <c r="AD52" i="16"/>
  <c r="AA52" i="16"/>
  <c r="AC52" i="16"/>
  <c r="AB52" i="16"/>
  <c r="AD44" i="16"/>
  <c r="AA44" i="16"/>
  <c r="AB44" i="16"/>
  <c r="AC44" i="16"/>
  <c r="AD36" i="16"/>
  <c r="AA36" i="16"/>
  <c r="AC36" i="16"/>
  <c r="AB36" i="16"/>
  <c r="AD28" i="16"/>
  <c r="AA28" i="16"/>
  <c r="AB28" i="16"/>
  <c r="AC28" i="16"/>
  <c r="AD20" i="16"/>
  <c r="AA20" i="16"/>
  <c r="AC20" i="16"/>
  <c r="AB20" i="16"/>
  <c r="AD12" i="16"/>
  <c r="AA12" i="16"/>
  <c r="AB12" i="16"/>
  <c r="AC12" i="16"/>
  <c r="AA187" i="16"/>
  <c r="AD187" i="16"/>
  <c r="AC187" i="16"/>
  <c r="AB187" i="16"/>
  <c r="AA171" i="16"/>
  <c r="AD171" i="16"/>
  <c r="AC171" i="16"/>
  <c r="AB171" i="16"/>
  <c r="AA155" i="16"/>
  <c r="AD155" i="16"/>
  <c r="AB155" i="16"/>
  <c r="AC155" i="16"/>
  <c r="AA139" i="16"/>
  <c r="AD139" i="16"/>
  <c r="AB139" i="16"/>
  <c r="AC139" i="16"/>
  <c r="AA123" i="16"/>
  <c r="AD123" i="16"/>
  <c r="AB123" i="16"/>
  <c r="AC123" i="16"/>
  <c r="AA107" i="16"/>
  <c r="AD107" i="16"/>
  <c r="AB107" i="16"/>
  <c r="AC107" i="16"/>
  <c r="AD87" i="16"/>
  <c r="AA87" i="16"/>
  <c r="AB87" i="16"/>
  <c r="AC87" i="16"/>
  <c r="AD67" i="16"/>
  <c r="AA67" i="16"/>
  <c r="AB67" i="16"/>
  <c r="AC67" i="16"/>
  <c r="AD47" i="16"/>
  <c r="AB47" i="16"/>
  <c r="AC47" i="16"/>
  <c r="AA47" i="16"/>
  <c r="AD23" i="16"/>
  <c r="AA23" i="16"/>
  <c r="AB23" i="16"/>
  <c r="AC23" i="16"/>
  <c r="AD8" i="16"/>
  <c r="AA8" i="16"/>
  <c r="AB8" i="16"/>
  <c r="AC8" i="16"/>
  <c r="Z6" i="7"/>
  <c r="AA6" i="7" s="1"/>
  <c r="Q6" i="7"/>
  <c r="U5" i="16"/>
  <c r="V5" i="16" s="1"/>
  <c r="AG2" i="16"/>
  <c r="AE169" i="16" s="1"/>
  <c r="AA25" i="17"/>
  <c r="E37" i="17"/>
  <c r="U23" i="17"/>
  <c r="N23" i="17"/>
  <c r="V24" i="17"/>
  <c r="X23" i="17"/>
  <c r="R24" i="17"/>
  <c r="Y24" i="17"/>
  <c r="C44" i="17"/>
  <c r="V25" i="17"/>
  <c r="D23" i="17"/>
  <c r="F44" i="17"/>
  <c r="Y25" i="17"/>
  <c r="G23" i="17"/>
  <c r="C23" i="17"/>
  <c r="AA23" i="17"/>
  <c r="Y23" i="17"/>
  <c r="Z24" i="17"/>
  <c r="D44" i="17"/>
  <c r="E23" i="17"/>
  <c r="C30" i="17"/>
  <c r="H23" i="17"/>
  <c r="R23" i="17"/>
  <c r="K23" i="17"/>
  <c r="AA24" i="17"/>
  <c r="E30" i="17"/>
  <c r="Q23" i="17"/>
  <c r="J23" i="17"/>
  <c r="D37" i="17"/>
  <c r="T23" i="17"/>
  <c r="M23" i="17"/>
  <c r="U24" i="17"/>
  <c r="W23" i="17"/>
  <c r="Q24" i="17"/>
  <c r="X24" i="17"/>
  <c r="Z23" i="17"/>
  <c r="T24" i="17"/>
  <c r="AA16" i="17"/>
  <c r="E44" i="17"/>
  <c r="X25" i="17"/>
  <c r="F23" i="17"/>
  <c r="D30" i="17"/>
  <c r="P23" i="17"/>
  <c r="I23" i="17"/>
  <c r="C37" i="17"/>
  <c r="S23" i="17"/>
  <c r="L23" i="17"/>
  <c r="F37" i="17"/>
  <c r="V23" i="17"/>
  <c r="O23" i="17"/>
  <c r="W24" i="17"/>
  <c r="S24" i="17"/>
  <c r="W25" i="17"/>
  <c r="Z25" i="17"/>
  <c r="F30" i="17"/>
  <c r="AA26" i="17" l="1"/>
  <c r="C26" i="17"/>
  <c r="D26" i="17"/>
  <c r="E26" i="17"/>
  <c r="F26" i="17"/>
  <c r="G26" i="17"/>
  <c r="H26" i="17"/>
  <c r="I26" i="17"/>
  <c r="J26" i="17"/>
  <c r="K26" i="17"/>
  <c r="L26" i="17"/>
  <c r="M26" i="17"/>
  <c r="N26" i="17"/>
  <c r="O26" i="17"/>
  <c r="P26" i="17"/>
  <c r="Q26" i="17"/>
  <c r="R26" i="17"/>
  <c r="S26" i="17"/>
  <c r="T26" i="17"/>
  <c r="U26" i="17"/>
  <c r="V26" i="17"/>
  <c r="W26" i="17"/>
  <c r="X26" i="17"/>
  <c r="Y26" i="17"/>
  <c r="Z26" i="17"/>
  <c r="C47" i="17"/>
  <c r="D47" i="17"/>
  <c r="E47" i="17"/>
  <c r="F47" i="17"/>
  <c r="C33" i="17"/>
  <c r="D33" i="17"/>
  <c r="E33" i="17"/>
  <c r="F33" i="17"/>
  <c r="C40" i="17"/>
  <c r="D40" i="17"/>
  <c r="E40" i="17"/>
  <c r="F40" i="17"/>
  <c r="AE43" i="16"/>
  <c r="AE93" i="16"/>
  <c r="AE108" i="16"/>
  <c r="AE22" i="16"/>
  <c r="AE150" i="16"/>
  <c r="AE188" i="16"/>
  <c r="AE5" i="16"/>
  <c r="AE11" i="16"/>
  <c r="AE59" i="16"/>
  <c r="AE159" i="16"/>
  <c r="AF159" i="16" s="1"/>
  <c r="AE161" i="16"/>
  <c r="AE60" i="16"/>
  <c r="AF60" i="16" s="1"/>
  <c r="AE124" i="16"/>
  <c r="AE81" i="16"/>
  <c r="AF81" i="16" s="1"/>
  <c r="AE38" i="16"/>
  <c r="AE102" i="16"/>
  <c r="AF102" i="16" s="1"/>
  <c r="AE166" i="16"/>
  <c r="AE151" i="16"/>
  <c r="AF151" i="16" s="1"/>
  <c r="AE25" i="16"/>
  <c r="AE153" i="16"/>
  <c r="AE15" i="16"/>
  <c r="AE75" i="16"/>
  <c r="AE168" i="16"/>
  <c r="AE12" i="16"/>
  <c r="AE76" i="16"/>
  <c r="AE140" i="16"/>
  <c r="AE145" i="16"/>
  <c r="AF145" i="16" s="1"/>
  <c r="AE54" i="16"/>
  <c r="AE118" i="16"/>
  <c r="AE182" i="16"/>
  <c r="AE175" i="16"/>
  <c r="AE57" i="16"/>
  <c r="AE185" i="16"/>
  <c r="AE107" i="16"/>
  <c r="AE44" i="16"/>
  <c r="AF44" i="16" s="1"/>
  <c r="AE9" i="16"/>
  <c r="AE86" i="16"/>
  <c r="AE127" i="16"/>
  <c r="AF127" i="16" s="1"/>
  <c r="AE121" i="16"/>
  <c r="AF121" i="16" s="1"/>
  <c r="AE27" i="16"/>
  <c r="AF27" i="16" s="1"/>
  <c r="AE91" i="16"/>
  <c r="AE33" i="16"/>
  <c r="AE28" i="16"/>
  <c r="AE92" i="16"/>
  <c r="AE156" i="16"/>
  <c r="AE6" i="16"/>
  <c r="L6" i="7" s="1"/>
  <c r="AE70" i="16"/>
  <c r="AE134" i="16"/>
  <c r="AE198" i="16"/>
  <c r="AE199" i="16"/>
  <c r="AE89" i="16"/>
  <c r="AF89" i="16" s="1"/>
  <c r="AE31" i="16"/>
  <c r="AF31" i="16" s="1"/>
  <c r="AE47" i="16"/>
  <c r="AE95" i="16"/>
  <c r="AF95" i="16" s="1"/>
  <c r="AE119" i="16"/>
  <c r="AF119" i="16" s="1"/>
  <c r="AE184" i="16"/>
  <c r="AE113" i="16"/>
  <c r="AE16" i="16"/>
  <c r="AF16" i="16" s="1"/>
  <c r="AJ8" i="16" s="1"/>
  <c r="AE19" i="16"/>
  <c r="AE35" i="16"/>
  <c r="AE67" i="16"/>
  <c r="AE83" i="16"/>
  <c r="AE131" i="16"/>
  <c r="AF131" i="16" s="1"/>
  <c r="AE183" i="16"/>
  <c r="AF183" i="16" s="1"/>
  <c r="AE61" i="16"/>
  <c r="AE125" i="16"/>
  <c r="AE20" i="16"/>
  <c r="AF20" i="16" s="1"/>
  <c r="AE36" i="16"/>
  <c r="AE68" i="16"/>
  <c r="AE84" i="16"/>
  <c r="AF84" i="16" s="1"/>
  <c r="AE116" i="16"/>
  <c r="AF116" i="16" s="1"/>
  <c r="AE132" i="16"/>
  <c r="AF132" i="16" s="1"/>
  <c r="AE176" i="16"/>
  <c r="AE49" i="16"/>
  <c r="AE109" i="16"/>
  <c r="AE14" i="16"/>
  <c r="AE7" i="16"/>
  <c r="AF7" i="16" s="1"/>
  <c r="AE23" i="16"/>
  <c r="AE39" i="16"/>
  <c r="AE55" i="16"/>
  <c r="AE71" i="16"/>
  <c r="AE87" i="16"/>
  <c r="AF87" i="16" s="1"/>
  <c r="AE103" i="16"/>
  <c r="AE143" i="16"/>
  <c r="AF143" i="16" s="1"/>
  <c r="AE195" i="16"/>
  <c r="AE13" i="16"/>
  <c r="AF13" i="16" s="1"/>
  <c r="AJ7" i="16" s="1"/>
  <c r="I24" i="27" s="1"/>
  <c r="H41" i="6" s="1"/>
  <c r="AE77" i="16"/>
  <c r="AE141" i="16"/>
  <c r="AE8" i="16"/>
  <c r="AF8" i="16" s="1"/>
  <c r="AE24" i="16"/>
  <c r="AF24" i="16" s="1"/>
  <c r="AE40" i="16"/>
  <c r="AE56" i="16"/>
  <c r="AE72" i="16"/>
  <c r="AE88" i="16"/>
  <c r="AF88" i="16" s="1"/>
  <c r="AE104" i="16"/>
  <c r="AF104" i="16" s="1"/>
  <c r="AE120" i="16"/>
  <c r="AF120" i="16" s="1"/>
  <c r="AE136" i="16"/>
  <c r="AE152" i="16"/>
  <c r="AF152" i="16" s="1"/>
  <c r="AE192" i="16"/>
  <c r="AE65" i="16"/>
  <c r="AE129" i="16"/>
  <c r="AE193" i="16"/>
  <c r="AE18" i="16"/>
  <c r="AF18" i="16" s="1"/>
  <c r="AE34" i="16"/>
  <c r="AF34" i="16" s="1"/>
  <c r="AE50" i="16"/>
  <c r="AF50" i="16" s="1"/>
  <c r="AE66" i="16"/>
  <c r="AE82" i="16"/>
  <c r="AE98" i="16"/>
  <c r="AE114" i="16"/>
  <c r="AE130" i="16"/>
  <c r="AE146" i="16"/>
  <c r="AE162" i="16"/>
  <c r="AE178" i="16"/>
  <c r="AE194" i="16"/>
  <c r="AF194" i="16" s="1"/>
  <c r="AE123" i="16"/>
  <c r="AE147" i="16"/>
  <c r="AE167" i="16"/>
  <c r="AE191" i="16"/>
  <c r="AF191" i="16" s="1"/>
  <c r="AE180" i="16"/>
  <c r="AF180" i="16" s="1"/>
  <c r="AE21" i="16"/>
  <c r="AF21" i="16" s="1"/>
  <c r="AE53" i="16"/>
  <c r="AE85" i="16"/>
  <c r="AF85" i="16" s="1"/>
  <c r="AE117" i="16"/>
  <c r="AF117" i="16" s="1"/>
  <c r="AE149" i="16"/>
  <c r="AF149" i="16" s="1"/>
  <c r="AE181" i="16"/>
  <c r="AE63" i="16"/>
  <c r="AE171" i="16"/>
  <c r="AF171" i="16" s="1"/>
  <c r="AE173" i="16"/>
  <c r="AE48" i="16"/>
  <c r="AE64" i="16"/>
  <c r="AF64" i="16" s="1"/>
  <c r="AE80" i="16"/>
  <c r="AF80" i="16" s="1"/>
  <c r="AE96" i="16"/>
  <c r="AE112" i="16"/>
  <c r="AE128" i="16"/>
  <c r="AF128" i="16" s="1"/>
  <c r="AE144" i="16"/>
  <c r="AF144" i="16" s="1"/>
  <c r="AE160" i="16"/>
  <c r="AE29" i="16"/>
  <c r="AE97" i="16"/>
  <c r="AE157" i="16"/>
  <c r="AF157" i="16" s="1"/>
  <c r="AE10" i="16"/>
  <c r="AE26" i="16"/>
  <c r="AF26" i="16" s="1"/>
  <c r="AE42" i="16"/>
  <c r="AF42" i="16" s="1"/>
  <c r="AE58" i="16"/>
  <c r="AF58" i="16" s="1"/>
  <c r="AE74" i="16"/>
  <c r="AF74" i="16" s="1"/>
  <c r="AE90" i="16"/>
  <c r="AE106" i="16"/>
  <c r="AF106" i="16" s="1"/>
  <c r="AE122" i="16"/>
  <c r="AF122" i="16" s="1"/>
  <c r="AE138" i="16"/>
  <c r="AF138" i="16" s="1"/>
  <c r="AE154" i="16"/>
  <c r="AE170" i="16"/>
  <c r="AE186" i="16"/>
  <c r="AF186" i="16" s="1"/>
  <c r="AE111" i="16"/>
  <c r="AF111" i="16" s="1"/>
  <c r="AE135" i="16"/>
  <c r="AE155" i="16"/>
  <c r="AE179" i="16"/>
  <c r="AF179" i="16" s="1"/>
  <c r="AE164" i="16"/>
  <c r="AF164" i="16" s="1"/>
  <c r="AE196" i="16"/>
  <c r="AE37" i="16"/>
  <c r="AE69" i="16"/>
  <c r="AE101" i="16"/>
  <c r="AE133" i="16"/>
  <c r="AE165" i="16"/>
  <c r="AE197" i="16"/>
  <c r="AF197" i="16" s="1"/>
  <c r="AE79" i="16"/>
  <c r="AF79" i="16" s="1"/>
  <c r="AE45" i="16"/>
  <c r="AF45" i="16" s="1"/>
  <c r="AE32" i="16"/>
  <c r="AE51" i="16"/>
  <c r="AF51" i="16" s="1"/>
  <c r="AE99" i="16"/>
  <c r="AE200" i="16"/>
  <c r="AE189" i="16"/>
  <c r="AE52" i="16"/>
  <c r="AF52" i="16" s="1"/>
  <c r="AE100" i="16"/>
  <c r="AF100" i="16" s="1"/>
  <c r="AE148" i="16"/>
  <c r="AF148" i="16" s="1"/>
  <c r="AE177" i="16"/>
  <c r="AE30" i="16"/>
  <c r="AF30" i="16" s="1"/>
  <c r="AE46" i="16"/>
  <c r="AF46" i="16" s="1"/>
  <c r="AE62" i="16"/>
  <c r="AF62" i="16" s="1"/>
  <c r="AE78" i="16"/>
  <c r="AE94" i="16"/>
  <c r="AF94" i="16" s="1"/>
  <c r="AE110" i="16"/>
  <c r="AF110" i="16" s="1"/>
  <c r="AE126" i="16"/>
  <c r="AF126" i="16" s="1"/>
  <c r="AE142" i="16"/>
  <c r="AE158" i="16"/>
  <c r="AF158" i="16" s="1"/>
  <c r="AE174" i="16"/>
  <c r="AF174" i="16" s="1"/>
  <c r="AE190" i="16"/>
  <c r="AE115" i="16"/>
  <c r="AE139" i="16"/>
  <c r="AE163" i="16"/>
  <c r="AE187" i="16"/>
  <c r="AE172" i="16"/>
  <c r="AE17" i="16"/>
  <c r="AE41" i="16"/>
  <c r="AF41" i="16" s="1"/>
  <c r="AE73" i="16"/>
  <c r="AF73" i="16" s="1"/>
  <c r="AE105" i="16"/>
  <c r="AF105" i="16" s="1"/>
  <c r="AE137" i="16"/>
  <c r="AF137" i="16" s="1"/>
  <c r="R6" i="7"/>
  <c r="AF181" i="16"/>
  <c r="AF167" i="16"/>
  <c r="AF47" i="16"/>
  <c r="AF136" i="16"/>
  <c r="AF72" i="16"/>
  <c r="AF189" i="16"/>
  <c r="AF176" i="16"/>
  <c r="AF68" i="16"/>
  <c r="AF61" i="16"/>
  <c r="AF196" i="16"/>
  <c r="AF185" i="16"/>
  <c r="AF67" i="16"/>
  <c r="AF198" i="16"/>
  <c r="AF93" i="16"/>
  <c r="AF195" i="16"/>
  <c r="AF59" i="16"/>
  <c r="AF182" i="16"/>
  <c r="AF33" i="16"/>
  <c r="AF166" i="16"/>
  <c r="I53" i="15"/>
  <c r="C53" i="15"/>
  <c r="F30" i="13"/>
  <c r="F31" i="13"/>
  <c r="F32" i="13"/>
  <c r="F29" i="13"/>
  <c r="F26" i="13"/>
  <c r="F27" i="13"/>
  <c r="F25" i="13"/>
  <c r="F21" i="13"/>
  <c r="F22" i="13"/>
  <c r="F23" i="13"/>
  <c r="F20" i="13"/>
  <c r="G18" i="13"/>
  <c r="G17" i="13"/>
  <c r="G13" i="13"/>
  <c r="G14" i="13"/>
  <c r="G15" i="13"/>
  <c r="G12" i="13"/>
  <c r="G9" i="13"/>
  <c r="G10" i="13"/>
  <c r="G8" i="13"/>
  <c r="G6" i="13"/>
  <c r="G5" i="13"/>
  <c r="B20" i="15"/>
  <c r="B12" i="15"/>
  <c r="D70" i="15" s="1"/>
  <c r="I62" i="15"/>
  <c r="I59" i="15"/>
  <c r="H59" i="15"/>
  <c r="G62" i="15"/>
  <c r="F57" i="15"/>
  <c r="E57" i="15"/>
  <c r="E58" i="15" s="1"/>
  <c r="E59" i="15" s="1"/>
  <c r="D57" i="15"/>
  <c r="D58" i="15" s="1"/>
  <c r="C61" i="15"/>
  <c r="C74" i="15" s="1"/>
  <c r="C58" i="15"/>
  <c r="C71" i="15" s="1"/>
  <c r="C57" i="15"/>
  <c r="C70" i="15" s="1"/>
  <c r="B61" i="15"/>
  <c r="B74" i="15" s="1"/>
  <c r="B62" i="15"/>
  <c r="B75" i="15" s="1"/>
  <c r="B60" i="15"/>
  <c r="B73" i="15" s="1"/>
  <c r="B59" i="15"/>
  <c r="B72" i="15" s="1"/>
  <c r="B58" i="15"/>
  <c r="B71" i="15" s="1"/>
  <c r="B57" i="15"/>
  <c r="B70" i="15" s="1"/>
  <c r="B69" i="15"/>
  <c r="G58" i="15"/>
  <c r="I52" i="15"/>
  <c r="B16" i="15" s="1"/>
  <c r="H52" i="15"/>
  <c r="H53" i="15" s="1"/>
  <c r="G52" i="15"/>
  <c r="G53" i="15" s="1"/>
  <c r="F52" i="15"/>
  <c r="F53" i="15" s="1"/>
  <c r="C52" i="15"/>
  <c r="J35" i="15"/>
  <c r="J34" i="15"/>
  <c r="J33" i="15"/>
  <c r="J32" i="15"/>
  <c r="K47" i="15"/>
  <c r="L47" i="15" s="1"/>
  <c r="J31" i="15"/>
  <c r="J30" i="15"/>
  <c r="J29" i="15"/>
  <c r="J28" i="15"/>
  <c r="J27" i="15"/>
  <c r="J26" i="15"/>
  <c r="J25" i="15"/>
  <c r="J24" i="15"/>
  <c r="AK4" i="17"/>
  <c r="U53" i="17"/>
  <c r="K59" i="17"/>
  <c r="F51" i="17"/>
  <c r="W32" i="17"/>
  <c r="U60" i="17"/>
  <c r="S44" i="17"/>
  <c r="I38" i="17"/>
  <c r="T31" i="17"/>
  <c r="J30" i="17"/>
  <c r="M32" i="17"/>
  <c r="S38" i="17"/>
  <c r="L45" i="17"/>
  <c r="S31" i="17"/>
  <c r="P45" i="17"/>
  <c r="P18" i="17"/>
  <c r="G60" i="17"/>
  <c r="N39" i="17"/>
  <c r="F60" i="17"/>
  <c r="P53" i="17"/>
  <c r="AA46" i="17"/>
  <c r="C59" i="17"/>
  <c r="Z65" i="17"/>
  <c r="AA32" i="17"/>
  <c r="O58" i="17"/>
  <c r="E51" i="17"/>
  <c r="G38" i="17"/>
  <c r="W38" i="17"/>
  <c r="X51" i="17"/>
  <c r="L39" i="17"/>
  <c r="W67" i="17"/>
  <c r="S32" i="17"/>
  <c r="R53" i="17"/>
  <c r="O30" i="17"/>
  <c r="J45" i="17"/>
  <c r="P51" i="17"/>
  <c r="I17" i="17"/>
  <c r="W58" i="17"/>
  <c r="E7" i="7"/>
  <c r="I46" i="17"/>
  <c r="C18" i="17"/>
  <c r="J44" i="17"/>
  <c r="O18" i="17"/>
  <c r="N59" i="17"/>
  <c r="V52" i="17"/>
  <c r="N16" i="17"/>
  <c r="W17" i="17"/>
  <c r="Z58" i="17"/>
  <c r="F59" i="17"/>
  <c r="AA38" i="17"/>
  <c r="W18" i="17"/>
  <c r="L30" i="17"/>
  <c r="S18" i="17"/>
  <c r="T38" i="17"/>
  <c r="AA17" i="17"/>
  <c r="M45" i="17"/>
  <c r="T65" i="17"/>
  <c r="R16" i="17"/>
  <c r="Y32" i="17"/>
  <c r="N67" i="17"/>
  <c r="G18" i="17"/>
  <c r="R45" i="17"/>
  <c r="X30" i="17"/>
  <c r="U65" i="17"/>
  <c r="L52" i="17"/>
  <c r="X60" i="17"/>
  <c r="X66" i="17"/>
  <c r="Z53" i="17"/>
  <c r="L32" i="17"/>
  <c r="L44" i="17"/>
  <c r="U67" i="17"/>
  <c r="V31" i="17"/>
  <c r="S59" i="17"/>
  <c r="V18" i="17"/>
  <c r="H67" i="17"/>
  <c r="G44" i="17"/>
  <c r="L66" i="17"/>
  <c r="R46" i="17"/>
  <c r="K52" i="17"/>
  <c r="S67" i="17"/>
  <c r="I67" i="17"/>
  <c r="P38" i="17"/>
  <c r="Q66" i="17"/>
  <c r="Z59" i="17"/>
  <c r="X52" i="17"/>
  <c r="O38" i="17"/>
  <c r="H45" i="17"/>
  <c r="C65" i="17"/>
  <c r="X38" i="17"/>
  <c r="AA58" i="17"/>
  <c r="H46" i="17"/>
  <c r="J18" i="17"/>
  <c r="W66" i="17"/>
  <c r="S52" i="17"/>
  <c r="T67" i="17"/>
  <c r="Q59" i="17"/>
  <c r="W52" i="17"/>
  <c r="S51" i="17"/>
  <c r="E17" i="17"/>
  <c r="L18" i="17"/>
  <c r="I45" i="17"/>
  <c r="X18" i="17"/>
  <c r="T44" i="17"/>
  <c r="X59" i="17"/>
  <c r="V39" i="17"/>
  <c r="Z66" i="17"/>
  <c r="W65" i="17"/>
  <c r="H16" i="17"/>
  <c r="G58" i="17"/>
  <c r="D60" i="17"/>
  <c r="C52" i="17"/>
  <c r="Q30" i="17"/>
  <c r="V46" i="17"/>
  <c r="S65" i="17"/>
  <c r="D18" i="17"/>
  <c r="N51" i="17"/>
  <c r="L60" i="17"/>
  <c r="V38" i="17"/>
  <c r="I39" i="17"/>
  <c r="G65" i="17"/>
  <c r="G16" i="17"/>
  <c r="S66" i="17"/>
  <c r="M51" i="17"/>
  <c r="J38" i="17"/>
  <c r="Q31" i="17"/>
  <c r="L37" i="17"/>
  <c r="U18" i="17"/>
  <c r="I44" i="17"/>
  <c r="O37" i="17"/>
  <c r="H30" i="17"/>
  <c r="Q60" i="17"/>
  <c r="X37" i="17"/>
  <c r="K60" i="17"/>
  <c r="O59" i="17"/>
  <c r="P30" i="17"/>
  <c r="Q51" i="17"/>
  <c r="E18" i="17"/>
  <c r="Y65" i="17"/>
  <c r="P65" i="17"/>
  <c r="X44" i="17"/>
  <c r="Z45" i="17"/>
  <c r="R30" i="17"/>
  <c r="U52" i="17"/>
  <c r="E67" i="17"/>
  <c r="Y58" i="17"/>
  <c r="E16" i="17"/>
  <c r="V17" i="17"/>
  <c r="G46" i="17"/>
  <c r="Q67" i="17"/>
  <c r="W53" i="17"/>
  <c r="F65" i="17"/>
  <c r="X31" i="17"/>
  <c r="Q44" i="17"/>
  <c r="D52" i="17"/>
  <c r="E58" i="17"/>
  <c r="I66" i="17"/>
  <c r="O60" i="17"/>
  <c r="R59" i="17"/>
  <c r="E65" i="17"/>
  <c r="Y31" i="17"/>
  <c r="Q38" i="17"/>
  <c r="W46" i="17"/>
  <c r="I59" i="17"/>
  <c r="Q37" i="17"/>
  <c r="J17" i="17"/>
  <c r="E60" i="17"/>
  <c r="P39" i="17"/>
  <c r="I53" i="17"/>
  <c r="P67" i="17"/>
  <c r="AA37" i="17"/>
  <c r="T59" i="17"/>
  <c r="L46" i="17"/>
  <c r="U45" i="17"/>
  <c r="V16" i="17"/>
  <c r="X46" i="17"/>
  <c r="Q32" i="17"/>
  <c r="Y51" i="17"/>
  <c r="U16" i="17"/>
  <c r="S46" i="17"/>
  <c r="N58" i="17"/>
  <c r="Q18" i="17"/>
  <c r="Z67" i="17"/>
  <c r="AA60" i="17"/>
  <c r="H51" i="17"/>
  <c r="X17" i="17"/>
  <c r="T53" i="17"/>
  <c r="N17" i="17"/>
  <c r="X53" i="17"/>
  <c r="P44" i="17"/>
  <c r="H53" i="17"/>
  <c r="Y66" i="17"/>
  <c r="AA18" i="17"/>
  <c r="C51" i="17"/>
  <c r="J52" i="17"/>
  <c r="L58" i="17"/>
  <c r="N66" i="17"/>
  <c r="W39" i="17"/>
  <c r="Y52" i="17"/>
  <c r="O17" i="17"/>
  <c r="P66" i="17"/>
  <c r="J53" i="17"/>
  <c r="Q53" i="17"/>
  <c r="H37" i="17"/>
  <c r="R32" i="17"/>
  <c r="E66" i="17"/>
  <c r="G31" i="17"/>
  <c r="K38" i="17"/>
  <c r="AA59" i="17"/>
  <c r="Q16" i="17"/>
  <c r="C17" i="17"/>
  <c r="P32" i="17"/>
  <c r="Y45" i="17"/>
  <c r="H59" i="17"/>
  <c r="W16" i="17"/>
  <c r="Y37" i="17"/>
  <c r="Z60" i="17"/>
  <c r="Y67" i="17"/>
  <c r="V60" i="17"/>
  <c r="M44" i="17"/>
  <c r="L59" i="17"/>
  <c r="D58" i="17"/>
  <c r="R60" i="17"/>
  <c r="H39" i="17"/>
  <c r="W31" i="17"/>
  <c r="S45" i="17"/>
  <c r="G51" i="17"/>
  <c r="O66" i="17"/>
  <c r="K65" i="17"/>
  <c r="R66" i="17"/>
  <c r="X16" i="17"/>
  <c r="R37" i="17"/>
  <c r="T45" i="17"/>
  <c r="I65" i="17"/>
  <c r="V67" i="17"/>
  <c r="K30" i="17"/>
  <c r="K16" i="17"/>
  <c r="R52" i="17"/>
  <c r="G32" i="17"/>
  <c r="Z32" i="17"/>
  <c r="R38" i="17"/>
  <c r="P16" i="17"/>
  <c r="U37" i="17"/>
  <c r="I16" i="17"/>
  <c r="M65" i="17"/>
  <c r="T37" i="17"/>
  <c r="V30" i="17"/>
  <c r="AM4" i="17"/>
  <c r="R44" i="17"/>
  <c r="T18" i="17"/>
  <c r="X58" i="17"/>
  <c r="L51" i="17"/>
  <c r="R31" i="17"/>
  <c r="Q46" i="17"/>
  <c r="P46" i="17"/>
  <c r="H58" i="17"/>
  <c r="R18" i="17"/>
  <c r="N31" i="17"/>
  <c r="K37" i="17"/>
  <c r="V37" i="17"/>
  <c r="F18" i="17"/>
  <c r="O31" i="17"/>
  <c r="W37" i="17"/>
  <c r="G66" i="17"/>
  <c r="T66" i="17"/>
  <c r="T51" i="17"/>
  <c r="P17" i="17"/>
  <c r="K17" i="17"/>
  <c r="O51" i="17"/>
  <c r="R58" i="17"/>
  <c r="S16" i="17"/>
  <c r="Y46" i="17"/>
  <c r="Y59" i="17"/>
  <c r="Z52" i="17"/>
  <c r="Z17" i="17"/>
  <c r="V66" i="17"/>
  <c r="E53" i="17"/>
  <c r="E59" i="17"/>
  <c r="O39" i="17"/>
  <c r="J65" i="17"/>
  <c r="S37" i="17"/>
  <c r="Z31" i="17"/>
  <c r="L67" i="17"/>
  <c r="AA67" i="17"/>
  <c r="O45" i="17"/>
  <c r="D51" i="17"/>
  <c r="U59" i="17"/>
  <c r="U31" i="17"/>
  <c r="M60" i="17"/>
  <c r="D59" i="17"/>
  <c r="O53" i="17"/>
  <c r="N53" i="17"/>
  <c r="J60" i="17"/>
  <c r="Y16" i="17"/>
  <c r="H32" i="17"/>
  <c r="U17" i="17"/>
  <c r="I60" i="17"/>
  <c r="C58" i="17"/>
  <c r="D53" i="17"/>
  <c r="M58" i="17"/>
  <c r="I52" i="17"/>
  <c r="H31" i="17"/>
  <c r="H44" i="17"/>
  <c r="U46" i="17"/>
  <c r="L17" i="17"/>
  <c r="AA53" i="17"/>
  <c r="K67" i="17"/>
  <c r="L31" i="17"/>
  <c r="G37" i="17"/>
  <c r="X65" i="17"/>
  <c r="T30" i="17"/>
  <c r="W45" i="17"/>
  <c r="W59" i="17"/>
  <c r="J58" i="17"/>
  <c r="J66" i="17"/>
  <c r="Z38" i="17"/>
  <c r="N46" i="17"/>
  <c r="T16" i="17"/>
  <c r="S58" i="17"/>
  <c r="Y60" i="17"/>
  <c r="U38" i="17"/>
  <c r="C66" i="17"/>
  <c r="M59" i="17"/>
  <c r="S30" i="17"/>
  <c r="K51" i="17"/>
  <c r="I51" i="17"/>
  <c r="D65" i="17"/>
  <c r="U32" i="17"/>
  <c r="I58" i="17"/>
  <c r="G30" i="17"/>
  <c r="V59" i="17"/>
  <c r="O32" i="17"/>
  <c r="E52" i="17"/>
  <c r="C53" i="17"/>
  <c r="N52" i="17"/>
  <c r="K53" i="17"/>
  <c r="AA65" i="17"/>
  <c r="N45" i="17"/>
  <c r="S53" i="17"/>
  <c r="T60" i="17"/>
  <c r="R67" i="17"/>
  <c r="N30" i="17"/>
  <c r="F16" i="17"/>
  <c r="C67" i="17"/>
  <c r="K45" i="17"/>
  <c r="Q17" i="17"/>
  <c r="AL4" i="17"/>
  <c r="L53" i="17"/>
  <c r="J37" i="17"/>
  <c r="V65" i="17"/>
  <c r="I31" i="17"/>
  <c r="L65" i="17"/>
  <c r="X45" i="17"/>
  <c r="N44" i="17"/>
  <c r="Y39" i="17"/>
  <c r="Q58" i="17"/>
  <c r="F52" i="17"/>
  <c r="F67" i="17"/>
  <c r="N37" i="17"/>
  <c r="D67" i="17"/>
  <c r="T52" i="17"/>
  <c r="N65" i="17"/>
  <c r="M53" i="17"/>
  <c r="Z16" i="17"/>
  <c r="I30" i="17"/>
  <c r="G59" i="17"/>
  <c r="X32" i="17"/>
  <c r="D66" i="17"/>
  <c r="S60" i="17"/>
  <c r="M46" i="17"/>
  <c r="J16" i="17"/>
  <c r="M66" i="17"/>
  <c r="C16" i="17"/>
  <c r="J31" i="17"/>
  <c r="Q45" i="17"/>
  <c r="Q52" i="17"/>
  <c r="AA45" i="17"/>
  <c r="W30" i="17"/>
  <c r="Y17" i="17"/>
  <c r="Z46" i="17"/>
  <c r="I37" i="17"/>
  <c r="Z30" i="17"/>
  <c r="M52" i="17"/>
  <c r="S39" i="17"/>
  <c r="G52" i="17"/>
  <c r="G39" i="17"/>
  <c r="T39" i="17"/>
  <c r="M18" i="17"/>
  <c r="K58" i="17"/>
  <c r="K44" i="17"/>
  <c r="V53" i="17"/>
  <c r="J46" i="17"/>
  <c r="Z37" i="17"/>
  <c r="Z51" i="17"/>
  <c r="AA44" i="17"/>
  <c r="M39" i="17"/>
  <c r="K39" i="17"/>
  <c r="J59" i="17"/>
  <c r="Z18" i="17"/>
  <c r="Z44" i="17"/>
  <c r="K32" i="17"/>
  <c r="F17" i="17"/>
  <c r="M30" i="17"/>
  <c r="P58" i="17"/>
  <c r="V51" i="17"/>
  <c r="O65" i="17"/>
  <c r="R51" i="17"/>
  <c r="G17" i="17"/>
  <c r="G67" i="17"/>
  <c r="H17" i="17"/>
  <c r="AA30" i="17"/>
  <c r="O44" i="17"/>
  <c r="J32" i="17"/>
  <c r="F66" i="17"/>
  <c r="M38" i="17"/>
  <c r="O67" i="17"/>
  <c r="H38" i="17"/>
  <c r="U39" i="17"/>
  <c r="L16" i="17"/>
  <c r="K18" i="17"/>
  <c r="N18" i="17"/>
  <c r="P52" i="17"/>
  <c r="U66" i="17"/>
  <c r="Y38" i="17"/>
  <c r="K66" i="17"/>
  <c r="G45" i="17"/>
  <c r="V45" i="17"/>
  <c r="J67" i="17"/>
  <c r="K46" i="17"/>
  <c r="O16" i="17"/>
  <c r="Z39" i="17"/>
  <c r="M16" i="17"/>
  <c r="M67" i="17"/>
  <c r="N38" i="17"/>
  <c r="F53" i="17"/>
  <c r="T58" i="17"/>
  <c r="W44" i="17"/>
  <c r="AA39" i="17"/>
  <c r="J51" i="17"/>
  <c r="V32" i="17"/>
  <c r="Y53" i="17"/>
  <c r="R17" i="17"/>
  <c r="W51" i="17"/>
  <c r="M17" i="17"/>
  <c r="D17" i="17"/>
  <c r="W60" i="17"/>
  <c r="K31" i="17"/>
  <c r="T17" i="17"/>
  <c r="I18" i="17"/>
  <c r="J39" i="17"/>
  <c r="H18" i="17"/>
  <c r="Y30" i="17"/>
  <c r="O46" i="17"/>
  <c r="U58" i="17"/>
  <c r="V44" i="17"/>
  <c r="T32" i="17"/>
  <c r="Y44" i="17"/>
  <c r="U44" i="17"/>
  <c r="P37" i="17"/>
  <c r="AA31" i="17"/>
  <c r="U30" i="17"/>
  <c r="Q39" i="17"/>
  <c r="S17" i="17"/>
  <c r="L38" i="17"/>
  <c r="P31" i="17"/>
  <c r="M31" i="17"/>
  <c r="Q65" i="17"/>
  <c r="AA51" i="17"/>
  <c r="M37" i="17"/>
  <c r="U51" i="17"/>
  <c r="O52" i="17"/>
  <c r="C60" i="17"/>
  <c r="P60" i="17"/>
  <c r="V58" i="17"/>
  <c r="AA66" i="17"/>
  <c r="P59" i="17"/>
  <c r="H65" i="17"/>
  <c r="F58" i="17"/>
  <c r="G53" i="17"/>
  <c r="I32" i="17"/>
  <c r="D16" i="17"/>
  <c r="R65" i="17"/>
  <c r="R39" i="17"/>
  <c r="X39" i="17"/>
  <c r="N32" i="17"/>
  <c r="Y18" i="17"/>
  <c r="T46" i="17"/>
  <c r="N60" i="17"/>
  <c r="H66" i="17"/>
  <c r="X67" i="17"/>
  <c r="H52" i="17"/>
  <c r="AA52" i="17"/>
  <c r="H60" i="17"/>
  <c r="Q36" i="29" l="1"/>
  <c r="Q33" i="29"/>
  <c r="Q35" i="29"/>
  <c r="Q34" i="29"/>
  <c r="I25" i="27"/>
  <c r="H42" i="6" s="1"/>
  <c r="Q37" i="29"/>
  <c r="J8" i="15"/>
  <c r="AK7" i="16" s="1"/>
  <c r="J24" i="27" s="1"/>
  <c r="F68" i="17"/>
  <c r="N40" i="17"/>
  <c r="G19" i="17"/>
  <c r="Q33" i="17"/>
  <c r="I19" i="17"/>
  <c r="G40" i="17"/>
  <c r="Z47" i="17"/>
  <c r="H19" i="17"/>
  <c r="M54" i="17"/>
  <c r="P54" i="17"/>
  <c r="D19" i="17"/>
  <c r="O61" i="17"/>
  <c r="AA40" i="17"/>
  <c r="K33" i="17"/>
  <c r="G47" i="17"/>
  <c r="V68" i="17"/>
  <c r="Q40" i="17"/>
  <c r="Q54" i="17"/>
  <c r="E54" i="17"/>
  <c r="V61" i="17"/>
  <c r="S68" i="17"/>
  <c r="C68" i="17"/>
  <c r="S61" i="17"/>
  <c r="I33" i="17"/>
  <c r="H40" i="17"/>
  <c r="P19" i="17"/>
  <c r="AA19" i="17"/>
  <c r="J68" i="17"/>
  <c r="R40" i="17"/>
  <c r="J61" i="17"/>
  <c r="O19" i="17"/>
  <c r="E19" i="17"/>
  <c r="R19" i="17"/>
  <c r="X33" i="17"/>
  <c r="E68" i="17"/>
  <c r="S40" i="17"/>
  <c r="M33" i="17"/>
  <c r="W61" i="17"/>
  <c r="N19" i="17"/>
  <c r="H68" i="17"/>
  <c r="U40" i="17"/>
  <c r="C19" i="17"/>
  <c r="M47" i="17"/>
  <c r="Y33" i="17"/>
  <c r="K47" i="17"/>
  <c r="K54" i="17"/>
  <c r="Q61" i="17"/>
  <c r="W54" i="17"/>
  <c r="M40" i="17"/>
  <c r="U61" i="17"/>
  <c r="F54" i="17"/>
  <c r="Z33" i="17"/>
  <c r="I68" i="17"/>
  <c r="N33" i="17"/>
  <c r="Z40" i="17"/>
  <c r="J47" i="17"/>
  <c r="R68" i="17"/>
  <c r="T40" i="17"/>
  <c r="I47" i="17"/>
  <c r="V19" i="17"/>
  <c r="J33" i="17"/>
  <c r="K19" i="17"/>
  <c r="V47" i="17"/>
  <c r="D68" i="17"/>
  <c r="Y54" i="17"/>
  <c r="O47" i="17"/>
  <c r="L47" i="17"/>
  <c r="O68" i="17"/>
  <c r="J54" i="17"/>
  <c r="T47" i="17"/>
  <c r="Y19" i="17"/>
  <c r="L19" i="17"/>
  <c r="O40" i="17"/>
  <c r="S19" i="17"/>
  <c r="U68" i="17"/>
  <c r="S33" i="17"/>
  <c r="Z61" i="17"/>
  <c r="O33" i="17"/>
  <c r="K40" i="17"/>
  <c r="M19" i="17"/>
  <c r="X68" i="17"/>
  <c r="R33" i="17"/>
  <c r="H54" i="17"/>
  <c r="J19" i="17"/>
  <c r="L33" i="17"/>
  <c r="V33" i="17"/>
  <c r="T33" i="17"/>
  <c r="F61" i="17"/>
  <c r="W19" i="17"/>
  <c r="Q68" i="17"/>
  <c r="U47" i="17"/>
  <c r="Q47" i="17"/>
  <c r="Y68" i="17"/>
  <c r="X19" i="17"/>
  <c r="U54" i="17"/>
  <c r="F7" i="7"/>
  <c r="D8" i="7" s="1"/>
  <c r="D54" i="17"/>
  <c r="K61" i="17"/>
  <c r="P47" i="17"/>
  <c r="T68" i="17"/>
  <c r="U33" i="17"/>
  <c r="W40" i="17"/>
  <c r="W68" i="17"/>
  <c r="N54" i="17"/>
  <c r="AA47" i="17"/>
  <c r="AA54" i="17"/>
  <c r="S54" i="17"/>
  <c r="W33" i="17"/>
  <c r="Q19" i="17"/>
  <c r="X61" i="17"/>
  <c r="D61" i="17"/>
  <c r="Z19" i="17"/>
  <c r="G61" i="17"/>
  <c r="P68" i="17"/>
  <c r="R61" i="17"/>
  <c r="P33" i="17"/>
  <c r="U19" i="17"/>
  <c r="N61" i="17"/>
  <c r="Y40" i="17"/>
  <c r="X40" i="17"/>
  <c r="T19" i="17"/>
  <c r="G54" i="17"/>
  <c r="L54" i="17"/>
  <c r="K68" i="17"/>
  <c r="F19" i="17"/>
  <c r="L61" i="17"/>
  <c r="I40" i="17"/>
  <c r="P40" i="17"/>
  <c r="V40" i="17"/>
  <c r="M61" i="17"/>
  <c r="C61" i="17"/>
  <c r="T61" i="17"/>
  <c r="L40" i="17"/>
  <c r="Y47" i="17"/>
  <c r="W47" i="17"/>
  <c r="N47" i="17"/>
  <c r="V54" i="17"/>
  <c r="N68" i="17"/>
  <c r="R47" i="17"/>
  <c r="Z68" i="17"/>
  <c r="R54" i="17"/>
  <c r="AA33" i="17"/>
  <c r="X47" i="17"/>
  <c r="G68" i="17"/>
  <c r="H47" i="17"/>
  <c r="AA61" i="17"/>
  <c r="G33" i="17"/>
  <c r="O54" i="17"/>
  <c r="L68" i="17"/>
  <c r="T54" i="17"/>
  <c r="I61" i="17"/>
  <c r="H33" i="17"/>
  <c r="I54" i="17"/>
  <c r="P61" i="17"/>
  <c r="J40" i="17"/>
  <c r="X54" i="17"/>
  <c r="Z54" i="17"/>
  <c r="AA68" i="17"/>
  <c r="E61" i="17"/>
  <c r="Y61" i="17"/>
  <c r="M68" i="17"/>
  <c r="S47" i="17"/>
  <c r="H61" i="17"/>
  <c r="C54" i="17"/>
  <c r="AF12" i="16"/>
  <c r="AJ10" i="16" s="1"/>
  <c r="AF170" i="16"/>
  <c r="AF168" i="16"/>
  <c r="AF49" i="16"/>
  <c r="AF101" i="16"/>
  <c r="AF83" i="16"/>
  <c r="AF147" i="16"/>
  <c r="AF43" i="16"/>
  <c r="AF71" i="16"/>
  <c r="AF91" i="16"/>
  <c r="AF114" i="16"/>
  <c r="AF135" i="16"/>
  <c r="AF155" i="16"/>
  <c r="AF192" i="16"/>
  <c r="AF133" i="16"/>
  <c r="AF70" i="16"/>
  <c r="AF96" i="16"/>
  <c r="AF125" i="16"/>
  <c r="AF154" i="16"/>
  <c r="AF172" i="16"/>
  <c r="AF11" i="16"/>
  <c r="AF28" i="16"/>
  <c r="AF40" i="16"/>
  <c r="AF78" i="16"/>
  <c r="AF112" i="16"/>
  <c r="AF163" i="16"/>
  <c r="AF23" i="16"/>
  <c r="AF48" i="16"/>
  <c r="AF66" i="16"/>
  <c r="AF98" i="16"/>
  <c r="AF130" i="16"/>
  <c r="AF162" i="16"/>
  <c r="AF178" i="16"/>
  <c r="AF175" i="16"/>
  <c r="AF14" i="16"/>
  <c r="AF29" i="16"/>
  <c r="AF54" i="16"/>
  <c r="AF75" i="16"/>
  <c r="AF97" i="16"/>
  <c r="AF118" i="16"/>
  <c r="AF139" i="16"/>
  <c r="AF161" i="16"/>
  <c r="AF10" i="16"/>
  <c r="AF37" i="16"/>
  <c r="AF76" i="16"/>
  <c r="AF108" i="16"/>
  <c r="AF140" i="16"/>
  <c r="AF177" i="16"/>
  <c r="AF25" i="16"/>
  <c r="AF5" i="16"/>
  <c r="AJ11" i="16" s="1"/>
  <c r="AF173" i="16"/>
  <c r="AF35" i="16"/>
  <c r="AF69" i="16"/>
  <c r="AF153" i="16"/>
  <c r="AF115" i="16"/>
  <c r="AF36" i="16"/>
  <c r="AF57" i="16"/>
  <c r="AF82" i="16"/>
  <c r="AF103" i="16"/>
  <c r="AF123" i="16"/>
  <c r="AF146" i="16"/>
  <c r="AF184" i="16"/>
  <c r="AF200" i="16"/>
  <c r="AF63" i="16"/>
  <c r="AF90" i="16"/>
  <c r="AF113" i="16"/>
  <c r="AF134" i="16"/>
  <c r="AF160" i="16"/>
  <c r="AF165" i="16"/>
  <c r="AF15" i="16"/>
  <c r="AF32" i="16"/>
  <c r="AF53" i="16"/>
  <c r="AF99" i="16"/>
  <c r="AF142" i="16"/>
  <c r="AF188" i="16"/>
  <c r="AF19" i="16"/>
  <c r="AF38" i="16"/>
  <c r="AF56" i="16"/>
  <c r="AF77" i="16"/>
  <c r="AF109" i="16"/>
  <c r="AF141" i="16"/>
  <c r="AF169" i="16"/>
  <c r="AF187" i="16"/>
  <c r="AF190" i="16"/>
  <c r="AF17" i="16"/>
  <c r="AF39" i="16"/>
  <c r="AF65" i="16"/>
  <c r="AF86" i="16"/>
  <c r="AF107" i="16"/>
  <c r="AF129" i="16"/>
  <c r="AF150" i="16"/>
  <c r="AF193" i="16"/>
  <c r="AF22" i="16"/>
  <c r="AF55" i="16"/>
  <c r="AF92" i="16"/>
  <c r="AF124" i="16"/>
  <c r="AF156" i="16"/>
  <c r="AF199" i="16"/>
  <c r="AF9" i="16"/>
  <c r="AJ6" i="16" s="1"/>
  <c r="C60" i="15"/>
  <c r="C73" i="15" s="1"/>
  <c r="C16" i="15"/>
  <c r="D16" i="15" s="1"/>
  <c r="F16" i="15" s="1"/>
  <c r="C59" i="15"/>
  <c r="C72" i="15" s="1"/>
  <c r="E16" i="15"/>
  <c r="F70" i="15"/>
  <c r="D71" i="15"/>
  <c r="E72" i="15"/>
  <c r="E71" i="15"/>
  <c r="E70" i="15"/>
  <c r="D59" i="15"/>
  <c r="I60" i="15"/>
  <c r="F58" i="15"/>
  <c r="C62" i="15"/>
  <c r="C75" i="15" s="1"/>
  <c r="K50" i="15"/>
  <c r="L50" i="15" s="1"/>
  <c r="E60" i="15"/>
  <c r="E73" i="15" s="1"/>
  <c r="H60" i="15"/>
  <c r="K42" i="15"/>
  <c r="L42" i="15" s="1"/>
  <c r="K44" i="15"/>
  <c r="L44" i="15" s="1"/>
  <c r="D52" i="15"/>
  <c r="D53" i="15" s="1"/>
  <c r="K43" i="15"/>
  <c r="L43" i="15" s="1"/>
  <c r="E52" i="15"/>
  <c r="E53" i="15" s="1"/>
  <c r="J52" i="15"/>
  <c r="J53" i="15" s="1"/>
  <c r="K45" i="15"/>
  <c r="L45" i="15" s="1"/>
  <c r="K49" i="15"/>
  <c r="L49" i="15" s="1"/>
  <c r="K51" i="15"/>
  <c r="L51" i="15" s="1"/>
  <c r="K46" i="15"/>
  <c r="L46" i="15" s="1"/>
  <c r="K48" i="15"/>
  <c r="L48" i="15" s="1"/>
  <c r="K41" i="15"/>
  <c r="L41" i="15" s="1"/>
  <c r="K40" i="15"/>
  <c r="AL10" i="17"/>
  <c r="AM8" i="17"/>
  <c r="AL5" i="17"/>
  <c r="AL3" i="17"/>
  <c r="AK7" i="17"/>
  <c r="E8" i="7"/>
  <c r="AM6" i="17"/>
  <c r="AM3" i="17"/>
  <c r="AM5" i="17"/>
  <c r="AL7" i="17"/>
  <c r="AM10" i="17"/>
  <c r="AK6" i="17"/>
  <c r="AK9" i="17"/>
  <c r="AK5" i="17"/>
  <c r="AL6" i="17"/>
  <c r="AK3" i="17"/>
  <c r="AL8" i="17"/>
  <c r="AM7" i="17"/>
  <c r="AM9" i="17"/>
  <c r="AK10" i="17"/>
  <c r="AL9" i="17"/>
  <c r="AK8" i="17"/>
  <c r="AM11" i="17" l="1"/>
  <c r="AL11" i="17"/>
  <c r="AK11" i="17"/>
  <c r="J62" i="15" s="1"/>
  <c r="G75" i="15" s="1"/>
  <c r="AK10" i="16"/>
  <c r="Q46" i="29"/>
  <c r="Q48" i="29"/>
  <c r="Q50" i="29"/>
  <c r="Q45" i="29"/>
  <c r="Q49" i="29"/>
  <c r="Q47" i="29"/>
  <c r="I27" i="27"/>
  <c r="H44" i="6" s="1"/>
  <c r="R33" i="29"/>
  <c r="R36" i="29"/>
  <c r="R35" i="29"/>
  <c r="R34" i="29"/>
  <c r="AK6" i="16"/>
  <c r="J23" i="27" s="1"/>
  <c r="I23" i="27"/>
  <c r="H40" i="6" s="1"/>
  <c r="AK11" i="16"/>
  <c r="I28" i="27"/>
  <c r="H45" i="6" s="1"/>
  <c r="Q52" i="29"/>
  <c r="Q54" i="29"/>
  <c r="Q56" i="29"/>
  <c r="Q58" i="29"/>
  <c r="Q53" i="29"/>
  <c r="Q57" i="29"/>
  <c r="Q51" i="29"/>
  <c r="Q55" i="29"/>
  <c r="Q38" i="29"/>
  <c r="Q40" i="29"/>
  <c r="Q39" i="29"/>
  <c r="Q41" i="29"/>
  <c r="AK8" i="16"/>
  <c r="AK12" i="16"/>
  <c r="AK15" i="16"/>
  <c r="J32" i="27" s="1"/>
  <c r="AK13" i="16"/>
  <c r="J30" i="27" s="1"/>
  <c r="AK14" i="16"/>
  <c r="J31" i="27" s="1"/>
  <c r="AJ9" i="16"/>
  <c r="C8" i="17"/>
  <c r="C7" i="17"/>
  <c r="F8" i="7"/>
  <c r="D9" i="7" s="1"/>
  <c r="AF6" i="16"/>
  <c r="AJ5" i="16" s="1"/>
  <c r="AJ17" i="16" s="1"/>
  <c r="S6" i="7"/>
  <c r="G16" i="15"/>
  <c r="D60" i="15"/>
  <c r="D73" i="15" s="1"/>
  <c r="D72" i="15"/>
  <c r="F59" i="15"/>
  <c r="F71" i="15"/>
  <c r="I61" i="15"/>
  <c r="E61" i="15"/>
  <c r="E74" i="15" s="1"/>
  <c r="H61" i="15"/>
  <c r="K52" i="15"/>
  <c r="L40" i="15"/>
  <c r="L52" i="15" s="1"/>
  <c r="C5" i="18" s="1"/>
  <c r="H28" i="6" s="1"/>
  <c r="E21" i="4"/>
  <c r="C21" i="4"/>
  <c r="G7" i="7"/>
  <c r="G8" i="7"/>
  <c r="E9" i="7"/>
  <c r="K60" i="15" l="1"/>
  <c r="H73" i="15" s="1"/>
  <c r="K62" i="15"/>
  <c r="K61" i="15"/>
  <c r="H74" i="15" s="1"/>
  <c r="L59" i="15"/>
  <c r="I72" i="15" s="1"/>
  <c r="L60" i="15"/>
  <c r="I73" i="15" s="1"/>
  <c r="L62" i="15"/>
  <c r="I75" i="15" s="1"/>
  <c r="L61" i="15"/>
  <c r="C20" i="15" s="1"/>
  <c r="K59" i="15"/>
  <c r="H72" i="15" s="1"/>
  <c r="J57" i="15"/>
  <c r="G70" i="15" s="1"/>
  <c r="J70" i="15" s="1"/>
  <c r="J58" i="15"/>
  <c r="G71" i="15" s="1"/>
  <c r="J71" i="15" s="1"/>
  <c r="Q22" i="29"/>
  <c r="Q24" i="29"/>
  <c r="Q26" i="29"/>
  <c r="Q28" i="29"/>
  <c r="Q23" i="29"/>
  <c r="Q27" i="29"/>
  <c r="Q25" i="29"/>
  <c r="Q29" i="29"/>
  <c r="Q31" i="29"/>
  <c r="Q30" i="29"/>
  <c r="AK17" i="16"/>
  <c r="Q15" i="29"/>
  <c r="I22" i="27"/>
  <c r="H39" i="6" s="1"/>
  <c r="Q16" i="29"/>
  <c r="Q17" i="29"/>
  <c r="Q20" i="29"/>
  <c r="Q19" i="29"/>
  <c r="Q21" i="29"/>
  <c r="Q18" i="29"/>
  <c r="R51" i="29"/>
  <c r="R53" i="29"/>
  <c r="R55" i="29"/>
  <c r="R57" i="29"/>
  <c r="J28" i="27"/>
  <c r="R58" i="29"/>
  <c r="R52" i="29"/>
  <c r="R54" i="29"/>
  <c r="R56" i="29"/>
  <c r="AK9" i="16"/>
  <c r="Q42" i="29"/>
  <c r="Q44" i="29"/>
  <c r="I26" i="27"/>
  <c r="H43" i="6" s="1"/>
  <c r="Q43" i="29"/>
  <c r="R59" i="29"/>
  <c r="R61" i="29"/>
  <c r="R63" i="29"/>
  <c r="J29" i="27"/>
  <c r="R62" i="29"/>
  <c r="R60" i="29"/>
  <c r="R64" i="29"/>
  <c r="R37" i="29"/>
  <c r="J25" i="27"/>
  <c r="R23" i="29"/>
  <c r="R25" i="29"/>
  <c r="R27" i="29"/>
  <c r="R29" i="29"/>
  <c r="R22" i="29"/>
  <c r="R24" i="29"/>
  <c r="R26" i="29"/>
  <c r="R28" i="29"/>
  <c r="R31" i="29"/>
  <c r="R30" i="29"/>
  <c r="R45" i="29"/>
  <c r="R47" i="29"/>
  <c r="R49" i="29"/>
  <c r="R46" i="29"/>
  <c r="R48" i="29"/>
  <c r="R50" i="29"/>
  <c r="J27" i="27"/>
  <c r="C8" i="18"/>
  <c r="H31" i="6" s="1"/>
  <c r="B13" i="27"/>
  <c r="E13" i="27" s="1"/>
  <c r="J7" i="7"/>
  <c r="Q7" i="7" s="1"/>
  <c r="K7" i="7"/>
  <c r="L7" i="7"/>
  <c r="X7" i="7"/>
  <c r="Y7" i="7" s="1"/>
  <c r="B19" i="27"/>
  <c r="B14" i="27"/>
  <c r="B16" i="27"/>
  <c r="B15" i="27"/>
  <c r="B11" i="27"/>
  <c r="B18" i="27"/>
  <c r="B17" i="27"/>
  <c r="F9" i="7"/>
  <c r="L8" i="7"/>
  <c r="J8" i="7"/>
  <c r="K8" i="7"/>
  <c r="X8" i="7"/>
  <c r="Y8" i="7" s="1"/>
  <c r="AK5" i="16"/>
  <c r="B12" i="27"/>
  <c r="B10" i="27"/>
  <c r="M6" i="7"/>
  <c r="AB6" i="7"/>
  <c r="D61" i="15"/>
  <c r="D74" i="15" s="1"/>
  <c r="F60" i="15"/>
  <c r="F72" i="15"/>
  <c r="H62" i="15"/>
  <c r="E62" i="15"/>
  <c r="E75" i="15" s="1"/>
  <c r="G9" i="7"/>
  <c r="H75" i="15" l="1"/>
  <c r="J72" i="15"/>
  <c r="G20" i="15"/>
  <c r="H20" i="15" s="1"/>
  <c r="D20" i="15"/>
  <c r="I74" i="15"/>
  <c r="H51" i="6"/>
  <c r="R39" i="29"/>
  <c r="R41" i="29"/>
  <c r="R38" i="29"/>
  <c r="R40" i="29"/>
  <c r="R43" i="29"/>
  <c r="J26" i="27"/>
  <c r="R42" i="29"/>
  <c r="R44" i="29"/>
  <c r="R17" i="29"/>
  <c r="R15" i="29"/>
  <c r="J22" i="27"/>
  <c r="R16" i="29"/>
  <c r="R21" i="29"/>
  <c r="R18" i="29"/>
  <c r="R20" i="29"/>
  <c r="R19" i="29"/>
  <c r="J9" i="7"/>
  <c r="Q9" i="7" s="1"/>
  <c r="Z7" i="7"/>
  <c r="AA7" i="7" s="1"/>
  <c r="AB7" i="7" s="1"/>
  <c r="AC7" i="7" s="1"/>
  <c r="R7" i="7"/>
  <c r="S7" i="7" s="1"/>
  <c r="T7" i="7" s="1"/>
  <c r="C14" i="27"/>
  <c r="C13" i="27"/>
  <c r="C11" i="27"/>
  <c r="M7" i="7"/>
  <c r="E11" i="27"/>
  <c r="E14" i="27"/>
  <c r="E18" i="27"/>
  <c r="C18" i="27"/>
  <c r="E15" i="27"/>
  <c r="C15" i="27"/>
  <c r="E17" i="27"/>
  <c r="C17" i="27"/>
  <c r="E16" i="27"/>
  <c r="C16" i="27"/>
  <c r="E19" i="27"/>
  <c r="C19" i="27"/>
  <c r="E10" i="27"/>
  <c r="L9" i="7"/>
  <c r="Z8" i="7"/>
  <c r="AA8" i="7" s="1"/>
  <c r="AB8" i="7" s="1"/>
  <c r="K9" i="7"/>
  <c r="X9" i="7"/>
  <c r="Y9" i="7" s="1"/>
  <c r="Q8" i="7"/>
  <c r="R8" i="7" s="1"/>
  <c r="S8" i="7" s="1"/>
  <c r="M8" i="7"/>
  <c r="N8" i="7" s="1"/>
  <c r="B62" i="27"/>
  <c r="C12" i="27"/>
  <c r="E12" i="27"/>
  <c r="C10" i="27"/>
  <c r="U6" i="7"/>
  <c r="AC6" i="7"/>
  <c r="T6" i="7"/>
  <c r="N6" i="7"/>
  <c r="AD6" i="7"/>
  <c r="D62" i="15"/>
  <c r="D75" i="15" s="1"/>
  <c r="F73" i="15"/>
  <c r="J73" i="15" s="1"/>
  <c r="F61" i="15"/>
  <c r="O2" i="6"/>
  <c r="D10" i="4"/>
  <c r="D11" i="4"/>
  <c r="D12" i="4"/>
  <c r="D13" i="4"/>
  <c r="D14" i="4"/>
  <c r="D15" i="4"/>
  <c r="D16" i="4"/>
  <c r="D17" i="4"/>
  <c r="D18" i="4"/>
  <c r="D19" i="4"/>
  <c r="D20" i="4"/>
  <c r="I24" i="2"/>
  <c r="J24" i="2"/>
  <c r="K24" i="2"/>
  <c r="L24" i="2"/>
  <c r="F24" i="2"/>
  <c r="E21" i="3"/>
  <c r="J21" i="6" s="1"/>
  <c r="C21" i="3"/>
  <c r="I20" i="15" l="1"/>
  <c r="F7" i="29" s="1"/>
  <c r="G7" i="29" s="1"/>
  <c r="Z9" i="7"/>
  <c r="AA9" i="7" s="1"/>
  <c r="AB9" i="7" s="1"/>
  <c r="AC9" i="7" s="1"/>
  <c r="AD7" i="7"/>
  <c r="AE7" i="7" s="1"/>
  <c r="N7" i="7"/>
  <c r="U7" i="7"/>
  <c r="V7" i="7" s="1"/>
  <c r="M9" i="7"/>
  <c r="N9" i="7" s="1"/>
  <c r="R9" i="7"/>
  <c r="S9" i="7" s="1"/>
  <c r="T9" i="7" s="1"/>
  <c r="C62" i="27"/>
  <c r="D21" i="4"/>
  <c r="T8" i="7"/>
  <c r="U8" i="7"/>
  <c r="V8" i="7" s="1"/>
  <c r="AE6" i="7"/>
  <c r="V6" i="7"/>
  <c r="AD8" i="7"/>
  <c r="AE8" i="7" s="1"/>
  <c r="AC8" i="7"/>
  <c r="C7" i="18"/>
  <c r="H30" i="6" s="1"/>
  <c r="D21" i="3"/>
  <c r="L17" i="25" s="1"/>
  <c r="G24" i="2"/>
  <c r="L17" i="24" s="1"/>
  <c r="F74" i="15"/>
  <c r="J74" i="15" s="1"/>
  <c r="F62" i="15"/>
  <c r="F75" i="15" s="1"/>
  <c r="J75" i="15" s="1"/>
  <c r="J20" i="15" l="1"/>
  <c r="E22" i="3"/>
  <c r="M17" i="25"/>
  <c r="M26" i="2"/>
  <c r="E22" i="4"/>
  <c r="M17" i="26"/>
  <c r="AD9" i="7"/>
  <c r="AE9" i="7" s="1"/>
  <c r="U9" i="7"/>
  <c r="V9" i="7" s="1"/>
  <c r="B6" i="18"/>
  <c r="F29" i="6" s="1"/>
  <c r="B8" i="18"/>
  <c r="F31" i="6" s="1"/>
  <c r="H33" i="6"/>
  <c r="B7" i="18"/>
  <c r="F30" i="6" s="1"/>
  <c r="D12" i="15"/>
  <c r="C12" i="15" s="1"/>
  <c r="M7" i="25" l="1"/>
  <c r="M15" i="25"/>
  <c r="M10" i="25"/>
  <c r="M8" i="25"/>
  <c r="M9" i="25"/>
  <c r="M13" i="25"/>
  <c r="M11" i="25"/>
  <c r="M6" i="25"/>
  <c r="M14" i="25"/>
  <c r="M12" i="25"/>
  <c r="M6" i="26"/>
  <c r="M8" i="26"/>
  <c r="M11" i="26"/>
  <c r="M13" i="26"/>
  <c r="M15" i="26"/>
  <c r="M7" i="26"/>
  <c r="M9" i="26"/>
  <c r="M10" i="26"/>
  <c r="M14" i="26"/>
  <c r="M12" i="26"/>
  <c r="M8" i="24"/>
  <c r="M14" i="24"/>
  <c r="M9" i="24"/>
  <c r="M11" i="24"/>
  <c r="M10" i="24"/>
  <c r="M6" i="24"/>
  <c r="M7" i="24"/>
  <c r="M12" i="24"/>
  <c r="M13" i="24"/>
  <c r="M15" i="24"/>
  <c r="M17" i="24"/>
  <c r="D4" i="27"/>
  <c r="E24" i="27"/>
  <c r="E27" i="27"/>
  <c r="E23" i="27"/>
  <c r="E31" i="27"/>
  <c r="E28" i="27"/>
  <c r="E26" i="27"/>
  <c r="E32" i="27"/>
  <c r="E29" i="27"/>
  <c r="E25" i="27"/>
  <c r="E30" i="27"/>
  <c r="M5" i="24"/>
  <c r="E53" i="27"/>
  <c r="E52" i="27"/>
  <c r="E51" i="27"/>
  <c r="E50" i="27"/>
  <c r="M5" i="26"/>
  <c r="E57" i="27"/>
  <c r="E56" i="27"/>
  <c r="E54" i="27"/>
  <c r="E49" i="27"/>
  <c r="E58" i="27"/>
  <c r="E55" i="27"/>
  <c r="E38" i="27"/>
  <c r="M5" i="25"/>
  <c r="E44" i="27"/>
  <c r="E45" i="27"/>
  <c r="E41" i="27"/>
  <c r="E36" i="27"/>
  <c r="E42" i="27"/>
  <c r="E43" i="27"/>
  <c r="E40" i="27"/>
  <c r="E37" i="27"/>
  <c r="E39" i="27"/>
  <c r="E33" i="6"/>
  <c r="E12" i="15"/>
  <c r="F5" i="29" s="1"/>
  <c r="G5" i="29" s="1"/>
  <c r="Q88" i="29" l="1"/>
  <c r="Q91" i="29"/>
  <c r="Q89" i="29"/>
  <c r="Q85" i="29"/>
  <c r="Q87" i="29"/>
  <c r="Q86" i="29"/>
  <c r="Q90" i="29"/>
  <c r="D37" i="27"/>
  <c r="D62" i="27"/>
  <c r="D52" i="27"/>
  <c r="D24" i="27"/>
  <c r="D42" i="27"/>
  <c r="D57" i="27"/>
  <c r="D18" i="27"/>
  <c r="D11" i="27"/>
  <c r="D13" i="27"/>
  <c r="D51" i="27"/>
  <c r="D45" i="27"/>
  <c r="D31" i="27"/>
  <c r="D32" i="27"/>
  <c r="D58" i="27"/>
  <c r="D30" i="27"/>
  <c r="D36" i="27"/>
  <c r="D19" i="27"/>
  <c r="D28" i="27"/>
  <c r="D23" i="27"/>
  <c r="D29" i="27"/>
  <c r="D15" i="27"/>
  <c r="D27" i="27"/>
  <c r="D26" i="27"/>
  <c r="D53" i="27"/>
  <c r="D10" i="27"/>
  <c r="D14" i="27"/>
  <c r="D38" i="27"/>
  <c r="D17" i="27"/>
  <c r="D12" i="27"/>
  <c r="D25" i="27"/>
  <c r="D56" i="27"/>
  <c r="D40" i="27"/>
  <c r="D43" i="27"/>
  <c r="D55" i="27"/>
  <c r="D41" i="27"/>
  <c r="D50" i="27"/>
  <c r="D39" i="27"/>
  <c r="D16" i="27"/>
  <c r="D49" i="27"/>
  <c r="D54" i="27"/>
  <c r="D44" i="27"/>
  <c r="D5" i="27"/>
  <c r="G62" i="27"/>
  <c r="H62" i="27" s="1"/>
  <c r="G11" i="29" l="1"/>
  <c r="D10" i="29" a="1"/>
  <c r="D10" i="29" s="1"/>
  <c r="F11" i="29"/>
  <c r="E11" i="29"/>
  <c r="D9" i="29" a="1"/>
  <c r="D9" i="29" s="1"/>
  <c r="J9" i="29" s="1"/>
  <c r="E9" i="29" a="1"/>
  <c r="E9" i="29" s="1"/>
  <c r="K9" i="29" s="1"/>
  <c r="D11" i="29"/>
  <c r="E10" i="29" a="1"/>
  <c r="E10" i="29" s="1"/>
  <c r="F29" i="27"/>
  <c r="R87" i="29"/>
  <c r="R89" i="29"/>
  <c r="R90" i="29"/>
  <c r="R85" i="29"/>
  <c r="R88" i="29"/>
  <c r="R86" i="29"/>
  <c r="R91" i="29"/>
  <c r="E62" i="27"/>
  <c r="F62" i="27" s="1"/>
  <c r="B63" i="27"/>
  <c r="D63" i="27" s="1"/>
  <c r="E63" i="27" s="1"/>
  <c r="F30" i="27"/>
  <c r="F57" i="27"/>
  <c r="F18" i="27"/>
  <c r="F12" i="27"/>
  <c r="F31" i="27"/>
  <c r="F42" i="27"/>
  <c r="F36" i="27"/>
  <c r="F10" i="27"/>
  <c r="F41" i="27"/>
  <c r="F50" i="27"/>
  <c r="F44" i="27"/>
  <c r="F13" i="27"/>
  <c r="F52" i="27"/>
  <c r="F39" i="27"/>
  <c r="F54" i="27"/>
  <c r="F49" i="27"/>
  <c r="F24" i="27"/>
  <c r="F15" i="27"/>
  <c r="F28" i="27"/>
  <c r="F14" i="27"/>
  <c r="F25" i="27"/>
  <c r="F55" i="27"/>
  <c r="F38" i="27"/>
  <c r="F43" i="27"/>
  <c r="F51" i="27"/>
  <c r="F17" i="27"/>
  <c r="F26" i="27"/>
  <c r="F16" i="27"/>
  <c r="I62" i="27"/>
  <c r="J62" i="27" s="1"/>
  <c r="K62" i="27" s="1"/>
  <c r="F11" i="27"/>
  <c r="F27" i="27"/>
  <c r="F58" i="27"/>
  <c r="F37" i="27"/>
  <c r="F56" i="27"/>
  <c r="F23" i="27"/>
  <c r="F45" i="27"/>
  <c r="F40" i="27"/>
  <c r="F19" i="27"/>
  <c r="F32" i="27"/>
  <c r="F53" i="27"/>
  <c r="G63" i="27"/>
  <c r="I63" i="27" s="1"/>
  <c r="J63" i="27" s="1"/>
  <c r="K63" i="27" s="1"/>
  <c r="H10" i="29" l="1"/>
  <c r="J10" i="29"/>
  <c r="I10" i="29"/>
  <c r="K10" i="29"/>
  <c r="I11" i="29"/>
  <c r="K11" i="29"/>
  <c r="H11" i="29"/>
  <c r="J11" i="29"/>
  <c r="G9" i="29" a="1"/>
  <c r="G9" i="29" s="1"/>
  <c r="F9" i="29" a="1"/>
  <c r="F9" i="29" s="1"/>
  <c r="G10" i="29" a="1"/>
  <c r="G10" i="29" s="1"/>
  <c r="F10" i="29" a="1"/>
  <c r="F10" i="29" s="1"/>
  <c r="C63" i="27"/>
  <c r="L62" i="27"/>
  <c r="M62" i="27" s="1"/>
  <c r="H63" i="27"/>
  <c r="G64" i="27" s="1"/>
  <c r="I64" i="27" s="1"/>
  <c r="J64" i="27" s="1"/>
  <c r="K64" i="27" s="1"/>
  <c r="H64" i="27" l="1"/>
  <c r="G65" i="27" s="1"/>
  <c r="H65" i="27" s="1"/>
  <c r="P62" i="27"/>
  <c r="O62" i="27"/>
  <c r="N62" i="27"/>
  <c r="Q62" i="27" s="1"/>
  <c r="L63" i="27" l="1"/>
  <c r="M63" i="27" s="1"/>
  <c r="N63" i="27" s="1"/>
  <c r="Q63" i="27" s="1"/>
  <c r="I65" i="27"/>
  <c r="J65" i="27" s="1"/>
  <c r="K65" i="27" s="1"/>
  <c r="O63" i="27" l="1"/>
  <c r="P63" i="27"/>
  <c r="L64" i="27"/>
  <c r="M64" i="27" s="1"/>
  <c r="P64" i="27" s="1"/>
  <c r="G66" i="27"/>
  <c r="I66" i="27" s="1"/>
  <c r="J66" i="27" s="1"/>
  <c r="K66" i="27" s="1"/>
  <c r="N64" i="27" l="1"/>
  <c r="O64" i="27"/>
  <c r="H66" i="27"/>
  <c r="G67" i="27" s="1"/>
  <c r="I67" i="27" s="1"/>
  <c r="J67" i="27" s="1"/>
  <c r="K67" i="27" s="1"/>
  <c r="D10" i="7"/>
  <c r="E10" i="7"/>
  <c r="L65" i="27" l="1"/>
  <c r="M65" i="27" s="1"/>
  <c r="Q64" i="27"/>
  <c r="H67" i="27"/>
  <c r="G68" i="27" s="1"/>
  <c r="F10" i="7"/>
  <c r="G10" i="7"/>
  <c r="P65" i="27" l="1"/>
  <c r="N65" i="27"/>
  <c r="O65" i="27"/>
  <c r="H68" i="27"/>
  <c r="I68" i="27"/>
  <c r="J68" i="27" s="1"/>
  <c r="K68" i="27" s="1"/>
  <c r="X10" i="7"/>
  <c r="Y10" i="7" s="1"/>
  <c r="L10" i="7"/>
  <c r="K10" i="7"/>
  <c r="J10" i="7"/>
  <c r="D11" i="7"/>
  <c r="E11" i="7"/>
  <c r="L66" i="27" l="1"/>
  <c r="M66" i="27" s="1"/>
  <c r="Q65" i="27"/>
  <c r="G69" i="27"/>
  <c r="Q10" i="7"/>
  <c r="R10" i="7" s="1"/>
  <c r="S10" i="7" s="1"/>
  <c r="Z10" i="7"/>
  <c r="AA10" i="7" s="1"/>
  <c r="AB10" i="7" s="1"/>
  <c r="M10" i="7"/>
  <c r="G11" i="7"/>
  <c r="F11" i="7"/>
  <c r="O66" i="27" l="1"/>
  <c r="N66" i="27"/>
  <c r="Q66" i="27" s="1"/>
  <c r="P66" i="27"/>
  <c r="H69" i="27"/>
  <c r="I69" i="27"/>
  <c r="J69" i="27" s="1"/>
  <c r="K69" i="27" s="1"/>
  <c r="X11" i="7"/>
  <c r="Y11" i="7" s="1"/>
  <c r="L11" i="7"/>
  <c r="AC10" i="7"/>
  <c r="AD10" i="7"/>
  <c r="T10" i="7"/>
  <c r="U10" i="7"/>
  <c r="N10" i="7"/>
  <c r="J11" i="7"/>
  <c r="K11" i="7"/>
  <c r="D12" i="7"/>
  <c r="E12" i="7"/>
  <c r="L67" i="27" l="1"/>
  <c r="M67" i="27" s="1"/>
  <c r="O67" i="27" s="1"/>
  <c r="G70" i="27"/>
  <c r="AE10" i="7"/>
  <c r="Q11" i="7"/>
  <c r="R11" i="7" s="1"/>
  <c r="S11" i="7" s="1"/>
  <c r="Z11" i="7"/>
  <c r="AA11" i="7" s="1"/>
  <c r="AB11" i="7" s="1"/>
  <c r="V10" i="7"/>
  <c r="M11" i="7"/>
  <c r="G12" i="7"/>
  <c r="F12" i="7"/>
  <c r="P67" i="27" l="1"/>
  <c r="N67" i="27"/>
  <c r="L68" i="27" s="1"/>
  <c r="M68" i="27" s="1"/>
  <c r="H70" i="27"/>
  <c r="I70" i="27"/>
  <c r="J70" i="27" s="1"/>
  <c r="K70" i="27" s="1"/>
  <c r="X12" i="7"/>
  <c r="Y12" i="7" s="1"/>
  <c r="L12" i="7"/>
  <c r="AC11" i="7"/>
  <c r="AD11" i="7"/>
  <c r="T11" i="7"/>
  <c r="U11" i="7"/>
  <c r="N11" i="7"/>
  <c r="J12" i="7"/>
  <c r="K12" i="7"/>
  <c r="D13" i="7"/>
  <c r="E13" i="7"/>
  <c r="Q67" i="27" l="1"/>
  <c r="O68" i="27"/>
  <c r="N68" i="27"/>
  <c r="P68" i="27"/>
  <c r="AE11" i="7"/>
  <c r="Q12" i="7"/>
  <c r="R12" i="7" s="1"/>
  <c r="S12" i="7" s="1"/>
  <c r="Z12" i="7"/>
  <c r="AA12" i="7" s="1"/>
  <c r="AB12" i="7" s="1"/>
  <c r="AC12" i="7" s="1"/>
  <c r="V11" i="7"/>
  <c r="M12" i="7"/>
  <c r="G13" i="7"/>
  <c r="F13" i="7"/>
  <c r="L69" i="27" l="1"/>
  <c r="M69" i="27" s="1"/>
  <c r="Q68" i="27"/>
  <c r="X13" i="7"/>
  <c r="Y13" i="7" s="1"/>
  <c r="L13" i="7"/>
  <c r="AD12" i="7"/>
  <c r="T12" i="7"/>
  <c r="U12" i="7"/>
  <c r="N12" i="7"/>
  <c r="J13" i="7"/>
  <c r="K13" i="7"/>
  <c r="D14" i="7"/>
  <c r="E14" i="7"/>
  <c r="O69" i="27" l="1"/>
  <c r="N69" i="27"/>
  <c r="P69" i="27"/>
  <c r="AE12" i="7"/>
  <c r="Q13" i="7"/>
  <c r="R13" i="7" s="1"/>
  <c r="S13" i="7" s="1"/>
  <c r="T13" i="7" s="1"/>
  <c r="Z13" i="7"/>
  <c r="AA13" i="7" s="1"/>
  <c r="AB13" i="7" s="1"/>
  <c r="AC13" i="7" s="1"/>
  <c r="V12" i="7"/>
  <c r="M13" i="7"/>
  <c r="G14" i="7"/>
  <c r="F14" i="7"/>
  <c r="L70" i="27" l="1"/>
  <c r="M70" i="27" s="1"/>
  <c r="Q69" i="27"/>
  <c r="X14" i="7"/>
  <c r="Y14" i="7" s="1"/>
  <c r="L14" i="7"/>
  <c r="AD13" i="7"/>
  <c r="N13" i="7"/>
  <c r="U13" i="7"/>
  <c r="V13" i="7" s="1"/>
  <c r="K14" i="7"/>
  <c r="J14" i="7"/>
  <c r="D15" i="7"/>
  <c r="E15" i="7"/>
  <c r="P70" i="27" l="1"/>
  <c r="N70" i="27"/>
  <c r="L71" i="27" s="1"/>
  <c r="O70" i="27"/>
  <c r="AE13" i="7"/>
  <c r="Q14" i="7"/>
  <c r="R14" i="7" s="1"/>
  <c r="S14" i="7" s="1"/>
  <c r="T14" i="7" s="1"/>
  <c r="Z14" i="7"/>
  <c r="AA14" i="7" s="1"/>
  <c r="AB14" i="7" s="1"/>
  <c r="AC14" i="7" s="1"/>
  <c r="M14" i="7"/>
  <c r="G15" i="7"/>
  <c r="F15" i="7"/>
  <c r="Q70" i="27" l="1"/>
  <c r="M71" i="27"/>
  <c r="X15" i="7"/>
  <c r="Y15" i="7" s="1"/>
  <c r="L15" i="7"/>
  <c r="AD14" i="7"/>
  <c r="AE14" i="7" s="1"/>
  <c r="N14" i="7"/>
  <c r="U14" i="7"/>
  <c r="V14" i="7" s="1"/>
  <c r="J15" i="7"/>
  <c r="K15" i="7"/>
  <c r="D16" i="7"/>
  <c r="E16" i="7"/>
  <c r="P71" i="27" l="1"/>
  <c r="N71" i="27"/>
  <c r="O71" i="27"/>
  <c r="Q15" i="7"/>
  <c r="R15" i="7" s="1"/>
  <c r="S15" i="7" s="1"/>
  <c r="T15" i="7" s="1"/>
  <c r="Z15" i="7"/>
  <c r="AA15" i="7" s="1"/>
  <c r="AB15" i="7" s="1"/>
  <c r="AC15" i="7" s="1"/>
  <c r="M15" i="7"/>
  <c r="G16" i="7"/>
  <c r="F16" i="7"/>
  <c r="L72" i="27" l="1"/>
  <c r="M72" i="27" s="1"/>
  <c r="Q71" i="27"/>
  <c r="X16" i="7"/>
  <c r="Y16" i="7" s="1"/>
  <c r="L16" i="7"/>
  <c r="AD15" i="7"/>
  <c r="AE15" i="7" s="1"/>
  <c r="N15" i="7"/>
  <c r="U15" i="7"/>
  <c r="V15" i="7" s="1"/>
  <c r="K16" i="7"/>
  <c r="J16" i="7"/>
  <c r="D17" i="7"/>
  <c r="E17" i="7"/>
  <c r="O72" i="27" l="1"/>
  <c r="P72" i="27"/>
  <c r="N72" i="27"/>
  <c r="Q16" i="7"/>
  <c r="R16" i="7" s="1"/>
  <c r="S16" i="7" s="1"/>
  <c r="T16" i="7" s="1"/>
  <c r="Z16" i="7"/>
  <c r="AA16" i="7" s="1"/>
  <c r="AB16" i="7" s="1"/>
  <c r="AC16" i="7" s="1"/>
  <c r="M16" i="7"/>
  <c r="G17" i="7"/>
  <c r="F17" i="7"/>
  <c r="L73" i="27" l="1"/>
  <c r="M73" i="27" s="1"/>
  <c r="Q72" i="27"/>
  <c r="X17" i="7"/>
  <c r="Y17" i="7" s="1"/>
  <c r="L17" i="7"/>
  <c r="AD16" i="7"/>
  <c r="AE16" i="7" s="1"/>
  <c r="N16" i="7"/>
  <c r="U16" i="7"/>
  <c r="V16" i="7" s="1"/>
  <c r="K17" i="7"/>
  <c r="J17" i="7"/>
  <c r="D18" i="7"/>
  <c r="E18" i="7"/>
  <c r="O73" i="27" l="1"/>
  <c r="N73" i="27"/>
  <c r="P73" i="27"/>
  <c r="Z17" i="7"/>
  <c r="AA17" i="7" s="1"/>
  <c r="AB17" i="7" s="1"/>
  <c r="AC17" i="7" s="1"/>
  <c r="M17" i="7"/>
  <c r="Q17" i="7"/>
  <c r="R17" i="7" s="1"/>
  <c r="S17" i="7" s="1"/>
  <c r="T17" i="7" s="1"/>
  <c r="G18" i="7"/>
  <c r="F18" i="7"/>
  <c r="L74" i="27" l="1"/>
  <c r="M74" i="27" s="1"/>
  <c r="Q73" i="27"/>
  <c r="X18" i="7"/>
  <c r="Y18" i="7" s="1"/>
  <c r="L18" i="7"/>
  <c r="AD17" i="7"/>
  <c r="AE17" i="7" s="1"/>
  <c r="N17" i="7"/>
  <c r="U17" i="7"/>
  <c r="V17" i="7" s="1"/>
  <c r="K18" i="7"/>
  <c r="J18" i="7"/>
  <c r="D19" i="7"/>
  <c r="E19" i="7"/>
  <c r="P74" i="27" l="1"/>
  <c r="N74" i="27"/>
  <c r="O74" i="27"/>
  <c r="Q18" i="7"/>
  <c r="R18" i="7" s="1"/>
  <c r="S18" i="7" s="1"/>
  <c r="T18" i="7" s="1"/>
  <c r="Z18" i="7"/>
  <c r="AA18" i="7" s="1"/>
  <c r="AB18" i="7" s="1"/>
  <c r="AC18" i="7" s="1"/>
  <c r="M18" i="7"/>
  <c r="G19" i="7"/>
  <c r="F19" i="7"/>
  <c r="L75" i="27" l="1"/>
  <c r="Q74" i="27"/>
  <c r="M75" i="27"/>
  <c r="X19" i="7"/>
  <c r="Y19" i="7" s="1"/>
  <c r="L19" i="7"/>
  <c r="AD18" i="7"/>
  <c r="AE18" i="7" s="1"/>
  <c r="N18" i="7"/>
  <c r="U18" i="7"/>
  <c r="V18" i="7" s="1"/>
  <c r="J19" i="7"/>
  <c r="K19" i="7"/>
  <c r="D20" i="7"/>
  <c r="E20" i="7"/>
  <c r="P75" i="27" l="1"/>
  <c r="N75" i="27"/>
  <c r="L76" i="27"/>
  <c r="O75" i="27"/>
  <c r="Q19" i="7"/>
  <c r="R19" i="7" s="1"/>
  <c r="S19" i="7" s="1"/>
  <c r="T19" i="7" s="1"/>
  <c r="Z19" i="7"/>
  <c r="AA19" i="7" s="1"/>
  <c r="AB19" i="7" s="1"/>
  <c r="AC19" i="7" s="1"/>
  <c r="M19" i="7"/>
  <c r="G20" i="7"/>
  <c r="F20" i="7"/>
  <c r="Q75" i="27" l="1"/>
  <c r="M76" i="27"/>
  <c r="X20" i="7"/>
  <c r="Y20" i="7" s="1"/>
  <c r="L20" i="7"/>
  <c r="AD19" i="7"/>
  <c r="AE19" i="7" s="1"/>
  <c r="N19" i="7"/>
  <c r="U19" i="7"/>
  <c r="V19" i="7" s="1"/>
  <c r="J20" i="7"/>
  <c r="K20" i="7"/>
  <c r="D21" i="7"/>
  <c r="E21" i="7"/>
  <c r="P76" i="27" l="1"/>
  <c r="N76" i="27"/>
  <c r="O76" i="27"/>
  <c r="L77" i="27"/>
  <c r="Q20" i="7"/>
  <c r="R20" i="7" s="1"/>
  <c r="S20" i="7" s="1"/>
  <c r="T20" i="7" s="1"/>
  <c r="Z20" i="7"/>
  <c r="AA20" i="7" s="1"/>
  <c r="AB20" i="7" s="1"/>
  <c r="AC20" i="7" s="1"/>
  <c r="M20" i="7"/>
  <c r="G21" i="7"/>
  <c r="F21" i="7"/>
  <c r="Q76" i="27" l="1"/>
  <c r="M77" i="27"/>
  <c r="X21" i="7"/>
  <c r="Y21" i="7" s="1"/>
  <c r="L21" i="7"/>
  <c r="AD20" i="7"/>
  <c r="AE20" i="7" s="1"/>
  <c r="N20" i="7"/>
  <c r="U20" i="7"/>
  <c r="V20" i="7" s="1"/>
  <c r="J21" i="7"/>
  <c r="K21" i="7"/>
  <c r="D22" i="7"/>
  <c r="E22" i="7"/>
  <c r="P77" i="27" l="1"/>
  <c r="O77" i="27"/>
  <c r="L78" i="27"/>
  <c r="N77" i="27"/>
  <c r="Q21" i="7"/>
  <c r="R21" i="7" s="1"/>
  <c r="S21" i="7" s="1"/>
  <c r="T21" i="7" s="1"/>
  <c r="Z21" i="7"/>
  <c r="AA21" i="7" s="1"/>
  <c r="AB21" i="7" s="1"/>
  <c r="AC21" i="7" s="1"/>
  <c r="M21" i="7"/>
  <c r="G22" i="7"/>
  <c r="F22" i="7"/>
  <c r="Q77" i="27" l="1"/>
  <c r="M78" i="27"/>
  <c r="X22" i="7"/>
  <c r="Y22" i="7" s="1"/>
  <c r="L22" i="7"/>
  <c r="AD21" i="7"/>
  <c r="AE21" i="7" s="1"/>
  <c r="N21" i="7"/>
  <c r="U21" i="7"/>
  <c r="V21" i="7" s="1"/>
  <c r="K22" i="7"/>
  <c r="J22" i="7"/>
  <c r="D23" i="7"/>
  <c r="E23" i="7"/>
  <c r="O78" i="27" l="1"/>
  <c r="P78" i="27"/>
  <c r="L79" i="27"/>
  <c r="N78" i="27"/>
  <c r="Q22" i="7"/>
  <c r="R22" i="7" s="1"/>
  <c r="S22" i="7" s="1"/>
  <c r="T22" i="7" s="1"/>
  <c r="Z22" i="7"/>
  <c r="AA22" i="7" s="1"/>
  <c r="AB22" i="7" s="1"/>
  <c r="AC22" i="7" s="1"/>
  <c r="M22" i="7"/>
  <c r="G23" i="7"/>
  <c r="F23" i="7"/>
  <c r="Q78" i="27" l="1"/>
  <c r="M79" i="27"/>
  <c r="X23" i="7"/>
  <c r="Y23" i="7" s="1"/>
  <c r="L23" i="7"/>
  <c r="AD22" i="7"/>
  <c r="AE22" i="7" s="1"/>
  <c r="N22" i="7"/>
  <c r="U22" i="7"/>
  <c r="V22" i="7" s="1"/>
  <c r="J23" i="7"/>
  <c r="K23" i="7"/>
  <c r="D24" i="7"/>
  <c r="E24" i="7"/>
  <c r="O79" i="27" l="1"/>
  <c r="N79" i="27"/>
  <c r="P79" i="27"/>
  <c r="L80" i="27"/>
  <c r="Q23" i="7"/>
  <c r="R23" i="7" s="1"/>
  <c r="S23" i="7" s="1"/>
  <c r="T23" i="7" s="1"/>
  <c r="Z23" i="7"/>
  <c r="AA23" i="7" s="1"/>
  <c r="AB23" i="7" s="1"/>
  <c r="AC23" i="7" s="1"/>
  <c r="M23" i="7"/>
  <c r="G24" i="7"/>
  <c r="F24" i="7"/>
  <c r="Q79" i="27" l="1"/>
  <c r="M80" i="27"/>
  <c r="X24" i="7"/>
  <c r="Y24" i="7" s="1"/>
  <c r="L24" i="7"/>
  <c r="AD23" i="7"/>
  <c r="AE23" i="7" s="1"/>
  <c r="N23" i="7"/>
  <c r="U23" i="7"/>
  <c r="V23" i="7" s="1"/>
  <c r="K24" i="7"/>
  <c r="J24" i="7"/>
  <c r="D25" i="7"/>
  <c r="E25" i="7"/>
  <c r="P80" i="27" l="1"/>
  <c r="L81" i="27"/>
  <c r="O80" i="27"/>
  <c r="N80" i="27"/>
  <c r="Q24" i="7"/>
  <c r="R24" i="7" s="1"/>
  <c r="S24" i="7" s="1"/>
  <c r="T24" i="7" s="1"/>
  <c r="Z24" i="7"/>
  <c r="AA24" i="7" s="1"/>
  <c r="AB24" i="7" s="1"/>
  <c r="AC24" i="7" s="1"/>
  <c r="M24" i="7"/>
  <c r="G25" i="7"/>
  <c r="F25" i="7"/>
  <c r="Q80" i="27" l="1"/>
  <c r="M81" i="27"/>
  <c r="X25" i="7"/>
  <c r="Y25" i="7" s="1"/>
  <c r="L25" i="7"/>
  <c r="AD24" i="7"/>
  <c r="AE24" i="7" s="1"/>
  <c r="N24" i="7"/>
  <c r="U24" i="7"/>
  <c r="V24" i="7" s="1"/>
  <c r="J25" i="7"/>
  <c r="K25" i="7"/>
  <c r="D26" i="7"/>
  <c r="E26" i="7"/>
  <c r="N81" i="27" l="1"/>
  <c r="Q81" i="27" s="1"/>
  <c r="O81" i="27"/>
  <c r="P81" i="27"/>
  <c r="Q25" i="7"/>
  <c r="R25" i="7" s="1"/>
  <c r="S25" i="7" s="1"/>
  <c r="T25" i="7" s="1"/>
  <c r="Z25" i="7"/>
  <c r="AA25" i="7" s="1"/>
  <c r="AB25" i="7" s="1"/>
  <c r="AC25" i="7" s="1"/>
  <c r="M25" i="7"/>
  <c r="G26" i="7"/>
  <c r="F26" i="7"/>
  <c r="S62" i="27" l="1"/>
  <c r="S63" i="27"/>
  <c r="S64" i="27"/>
  <c r="S66" i="27"/>
  <c r="S65" i="27"/>
  <c r="X26" i="7"/>
  <c r="Y26" i="7" s="1"/>
  <c r="L26" i="7"/>
  <c r="AD25" i="7"/>
  <c r="AE25" i="7" s="1"/>
  <c r="N25" i="7"/>
  <c r="U25" i="7"/>
  <c r="V25" i="7" s="1"/>
  <c r="K26" i="7"/>
  <c r="J26" i="7"/>
  <c r="D27" i="7"/>
  <c r="E27" i="7"/>
  <c r="Q26" i="7" l="1"/>
  <c r="R26" i="7" s="1"/>
  <c r="S26" i="7" s="1"/>
  <c r="T26" i="7" s="1"/>
  <c r="Z26" i="7"/>
  <c r="AA26" i="7" s="1"/>
  <c r="AB26" i="7" s="1"/>
  <c r="AC26" i="7" s="1"/>
  <c r="M26" i="7"/>
  <c r="G27" i="7"/>
  <c r="F27" i="7"/>
  <c r="X27" i="7" l="1"/>
  <c r="Y27" i="7" s="1"/>
  <c r="L27" i="7"/>
  <c r="AD26" i="7"/>
  <c r="AE26" i="7" s="1"/>
  <c r="N26" i="7"/>
  <c r="U26" i="7"/>
  <c r="V26" i="7" s="1"/>
  <c r="J27" i="7"/>
  <c r="K27" i="7"/>
  <c r="D28" i="7"/>
  <c r="E28" i="7"/>
  <c r="Q27" i="7" l="1"/>
  <c r="R27" i="7" s="1"/>
  <c r="S27" i="7" s="1"/>
  <c r="T27" i="7" s="1"/>
  <c r="Z27" i="7"/>
  <c r="AA27" i="7" s="1"/>
  <c r="AB27" i="7" s="1"/>
  <c r="AC27" i="7" s="1"/>
  <c r="M27" i="7"/>
  <c r="G28" i="7"/>
  <c r="F28" i="7"/>
  <c r="X28" i="7" l="1"/>
  <c r="Y28" i="7" s="1"/>
  <c r="L28" i="7"/>
  <c r="AD27" i="7"/>
  <c r="AE27" i="7" s="1"/>
  <c r="N27" i="7"/>
  <c r="U27" i="7"/>
  <c r="V27" i="7" s="1"/>
  <c r="K28" i="7"/>
  <c r="J28" i="7"/>
  <c r="D29" i="7"/>
  <c r="E29" i="7"/>
  <c r="Q28" i="7" l="1"/>
  <c r="R28" i="7" s="1"/>
  <c r="S28" i="7" s="1"/>
  <c r="T28" i="7" s="1"/>
  <c r="Z28" i="7"/>
  <c r="AA28" i="7" s="1"/>
  <c r="AB28" i="7" s="1"/>
  <c r="AC28" i="7" s="1"/>
  <c r="M28" i="7"/>
  <c r="G29" i="7"/>
  <c r="F29" i="7"/>
  <c r="X29" i="7" l="1"/>
  <c r="Y29" i="7" s="1"/>
  <c r="L29" i="7"/>
  <c r="AD28" i="7"/>
  <c r="AE28" i="7" s="1"/>
  <c r="N28" i="7"/>
  <c r="U28" i="7"/>
  <c r="V28" i="7" s="1"/>
  <c r="K29" i="7"/>
  <c r="J29" i="7"/>
  <c r="D30" i="7"/>
  <c r="E30" i="7"/>
  <c r="Q29" i="7" l="1"/>
  <c r="R29" i="7" s="1"/>
  <c r="S29" i="7" s="1"/>
  <c r="T29" i="7" s="1"/>
  <c r="Z29" i="7"/>
  <c r="AA29" i="7" s="1"/>
  <c r="AB29" i="7" s="1"/>
  <c r="AC29" i="7" s="1"/>
  <c r="M29" i="7"/>
  <c r="G30" i="7"/>
  <c r="F30" i="7"/>
  <c r="X30" i="7" l="1"/>
  <c r="Y30" i="7" s="1"/>
  <c r="L30" i="7"/>
  <c r="AD29" i="7"/>
  <c r="AE29" i="7" s="1"/>
  <c r="N29" i="7"/>
  <c r="U29" i="7"/>
  <c r="V29" i="7" s="1"/>
  <c r="K30" i="7"/>
  <c r="J30" i="7"/>
  <c r="D31" i="7"/>
  <c r="E31" i="7"/>
  <c r="Q30" i="7" l="1"/>
  <c r="R30" i="7" s="1"/>
  <c r="S30" i="7" s="1"/>
  <c r="T30" i="7" s="1"/>
  <c r="Z30" i="7"/>
  <c r="AA30" i="7" s="1"/>
  <c r="AB30" i="7" s="1"/>
  <c r="AC30" i="7" s="1"/>
  <c r="M30" i="7"/>
  <c r="G31" i="7"/>
  <c r="F31" i="7"/>
  <c r="X31" i="7" l="1"/>
  <c r="Y31" i="7" s="1"/>
  <c r="L31" i="7"/>
  <c r="AD30" i="7"/>
  <c r="AE30" i="7" s="1"/>
  <c r="N30" i="7"/>
  <c r="U30" i="7"/>
  <c r="V30" i="7" s="1"/>
  <c r="J31" i="7"/>
  <c r="K31" i="7"/>
  <c r="D32" i="7"/>
  <c r="E32" i="7"/>
  <c r="Q31" i="7" l="1"/>
  <c r="R31" i="7" s="1"/>
  <c r="S31" i="7" s="1"/>
  <c r="T31" i="7" s="1"/>
  <c r="Z31" i="7"/>
  <c r="AA31" i="7" s="1"/>
  <c r="AB31" i="7" s="1"/>
  <c r="AC31" i="7" s="1"/>
  <c r="M31" i="7"/>
  <c r="G32" i="7"/>
  <c r="F32" i="7"/>
  <c r="X32" i="7" l="1"/>
  <c r="Y32" i="7" s="1"/>
  <c r="L32" i="7"/>
  <c r="AD31" i="7"/>
  <c r="AE31" i="7" s="1"/>
  <c r="N31" i="7"/>
  <c r="U31" i="7"/>
  <c r="V31" i="7" s="1"/>
  <c r="J32" i="7"/>
  <c r="K32" i="7"/>
  <c r="D33" i="7"/>
  <c r="E33" i="7"/>
  <c r="Q32" i="7" l="1"/>
  <c r="R32" i="7" s="1"/>
  <c r="S32" i="7" s="1"/>
  <c r="T32" i="7" s="1"/>
  <c r="Z32" i="7"/>
  <c r="AA32" i="7" s="1"/>
  <c r="AB32" i="7" s="1"/>
  <c r="AC32" i="7" s="1"/>
  <c r="M32" i="7"/>
  <c r="G33" i="7"/>
  <c r="F33" i="7"/>
  <c r="X33" i="7" l="1"/>
  <c r="Y33" i="7" s="1"/>
  <c r="L33" i="7"/>
  <c r="AD32" i="7"/>
  <c r="AE32" i="7" s="1"/>
  <c r="N32" i="7"/>
  <c r="U32" i="7"/>
  <c r="V32" i="7" s="1"/>
  <c r="J33" i="7"/>
  <c r="K33" i="7"/>
  <c r="D34" i="7"/>
  <c r="E34" i="7"/>
  <c r="Q33" i="7" l="1"/>
  <c r="R33" i="7" s="1"/>
  <c r="S33" i="7" s="1"/>
  <c r="T33" i="7" s="1"/>
  <c r="Z33" i="7"/>
  <c r="AA33" i="7" s="1"/>
  <c r="AB33" i="7" s="1"/>
  <c r="AC33" i="7" s="1"/>
  <c r="M33" i="7"/>
  <c r="G34" i="7"/>
  <c r="F34" i="7"/>
  <c r="X34" i="7" l="1"/>
  <c r="Y34" i="7" s="1"/>
  <c r="L34" i="7"/>
  <c r="AD33" i="7"/>
  <c r="AE33" i="7" s="1"/>
  <c r="N33" i="7"/>
  <c r="U33" i="7"/>
  <c r="V33" i="7" s="1"/>
  <c r="K34" i="7"/>
  <c r="J34" i="7"/>
  <c r="D35" i="7"/>
  <c r="E35" i="7"/>
  <c r="Q34" i="7" l="1"/>
  <c r="R34" i="7" s="1"/>
  <c r="S34" i="7" s="1"/>
  <c r="T34" i="7" s="1"/>
  <c r="Z34" i="7"/>
  <c r="AA34" i="7" s="1"/>
  <c r="AB34" i="7" s="1"/>
  <c r="AC34" i="7" s="1"/>
  <c r="M34" i="7"/>
  <c r="G35" i="7"/>
  <c r="F35" i="7"/>
  <c r="X35" i="7" l="1"/>
  <c r="Y35" i="7" s="1"/>
  <c r="L35" i="7"/>
  <c r="AD34" i="7"/>
  <c r="AE34" i="7" s="1"/>
  <c r="N34" i="7"/>
  <c r="U34" i="7"/>
  <c r="V34" i="7" s="1"/>
  <c r="J35" i="7"/>
  <c r="K35" i="7"/>
  <c r="Z35" i="7" l="1"/>
  <c r="AA35" i="7" s="1"/>
  <c r="J36" i="7"/>
  <c r="Q35" i="7"/>
  <c r="R35" i="7" s="1"/>
  <c r="K36" i="7"/>
  <c r="M35" i="7"/>
  <c r="AB35" i="7" l="1"/>
  <c r="AD35" i="7" s="1"/>
  <c r="AA36" i="7"/>
  <c r="S35" i="7"/>
  <c r="U35" i="7" s="1"/>
  <c r="R36" i="7"/>
  <c r="N35" i="7"/>
  <c r="N36" i="7" s="1"/>
  <c r="M36" i="7"/>
  <c r="AE35" i="7" l="1"/>
  <c r="AE36" i="7" s="1"/>
  <c r="G8" i="29" s="1"/>
  <c r="K8" i="29" s="1"/>
  <c r="AD36" i="7"/>
  <c r="E8" i="29" s="1"/>
  <c r="AC35" i="7"/>
  <c r="AC36" i="7" s="1"/>
  <c r="AB36" i="7"/>
  <c r="V35" i="7"/>
  <c r="V36" i="7" s="1"/>
  <c r="F8" i="29" s="1"/>
  <c r="J8" i="29" s="1"/>
  <c r="U36" i="7"/>
  <c r="D8" i="29" s="1"/>
  <c r="T35" i="7"/>
  <c r="T36" i="7" s="1"/>
  <c r="S36" i="7"/>
  <c r="AE37" i="7" l="1"/>
  <c r="I8" i="29" s="1"/>
  <c r="V37" i="7"/>
  <c r="H8" i="29" s="1"/>
  <c r="G71" i="27" l="1"/>
  <c r="I71" i="27" s="1"/>
  <c r="J71" i="27" s="1"/>
  <c r="K71" i="27" s="1"/>
  <c r="H71" i="27" l="1"/>
  <c r="G72" i="27" s="1"/>
  <c r="I72" i="27" l="1"/>
  <c r="J72" i="27" s="1"/>
  <c r="K72" i="27" s="1"/>
  <c r="H72" i="27"/>
  <c r="G73" i="27" l="1"/>
  <c r="I73" i="27" s="1"/>
  <c r="J73" i="27" s="1"/>
  <c r="K73" i="27" s="1"/>
  <c r="H73" i="27" l="1"/>
  <c r="G74" i="27" s="1"/>
  <c r="I74" i="27" s="1"/>
  <c r="J74" i="27" s="1"/>
  <c r="K74" i="27" s="1"/>
  <c r="H74" i="27" l="1"/>
  <c r="G75" i="27" s="1"/>
  <c r="I75" i="27" s="1"/>
  <c r="J75" i="27" s="1"/>
  <c r="K75" i="27" s="1"/>
  <c r="H75" i="27" l="1"/>
  <c r="G76" i="27" s="1"/>
  <c r="I76" i="27" s="1"/>
  <c r="J76" i="27" s="1"/>
  <c r="K76" i="27" s="1"/>
  <c r="H76" i="27" l="1"/>
  <c r="G77" i="27" s="1"/>
  <c r="I77" i="27" s="1"/>
  <c r="J77" i="27" s="1"/>
  <c r="K77" i="27" s="1"/>
  <c r="H77" i="27" l="1"/>
  <c r="G78" i="27" l="1"/>
  <c r="I78" i="27" s="1"/>
  <c r="H78" i="27" l="1"/>
  <c r="G79" i="27" s="1"/>
  <c r="I79" i="27" s="1"/>
  <c r="J79" i="27" s="1"/>
  <c r="K79" i="27" s="1"/>
  <c r="J78" i="27"/>
  <c r="K78" i="27" s="1"/>
  <c r="H79" i="27" l="1"/>
  <c r="G80" i="27" s="1"/>
  <c r="I80" i="27" s="1"/>
  <c r="J80" i="27" s="1"/>
  <c r="K80" i="27" s="1"/>
  <c r="F63" i="27"/>
  <c r="B64" i="27"/>
  <c r="C64" i="27" s="1"/>
  <c r="H80" i="27" l="1"/>
  <c r="G81" i="27" s="1"/>
  <c r="I81" i="27" s="1"/>
  <c r="J81" i="27" s="1"/>
  <c r="K81" i="27" s="1"/>
  <c r="D64" i="27"/>
  <c r="B65" i="27" s="1"/>
  <c r="H81" i="27" l="1"/>
  <c r="E64" i="27"/>
  <c r="F64" i="27" s="1"/>
  <c r="D65" i="27"/>
  <c r="E65" i="27" s="1"/>
  <c r="F65" i="27" s="1"/>
  <c r="C65" i="27"/>
  <c r="B66" i="27" l="1"/>
  <c r="D66" i="27" s="1"/>
  <c r="E66" i="27" s="1"/>
  <c r="F66" i="27" s="1"/>
  <c r="C66" i="27" l="1"/>
  <c r="B67" i="27" s="1"/>
  <c r="D67" i="27" s="1"/>
  <c r="C67" i="27" l="1"/>
  <c r="B68" i="27" s="1"/>
  <c r="D68" i="27" s="1"/>
  <c r="E68" i="27" s="1"/>
  <c r="F68" i="27" s="1"/>
  <c r="E67" i="27"/>
  <c r="F67" i="27" s="1"/>
  <c r="C68" i="27" l="1"/>
  <c r="B69" i="27" s="1"/>
  <c r="C69" i="27" s="1"/>
  <c r="D69" i="27" l="1"/>
  <c r="E69" i="27" s="1"/>
  <c r="F69" i="27" s="1"/>
  <c r="B70" i="27" l="1"/>
  <c r="D70" i="27" s="1"/>
  <c r="E70" i="27" s="1"/>
  <c r="F70" i="27" s="1"/>
  <c r="C70" i="27" l="1"/>
  <c r="B71" i="27" s="1"/>
  <c r="D71" i="27" s="1"/>
  <c r="E71" i="27" s="1"/>
  <c r="F71" i="27" s="1"/>
  <c r="C71" i="27" l="1"/>
  <c r="B72" i="27" s="1"/>
  <c r="D72" i="27" s="1"/>
  <c r="E72" i="27" s="1"/>
  <c r="F72" i="27" s="1"/>
  <c r="C72" i="27" l="1"/>
  <c r="B73" i="27" s="1"/>
  <c r="D73" i="27" s="1"/>
  <c r="E73" i="27" s="1"/>
  <c r="F73" i="27" s="1"/>
  <c r="C73" i="27" l="1"/>
  <c r="B74" i="27" s="1"/>
  <c r="D74" i="27" s="1"/>
  <c r="E74" i="27" s="1"/>
  <c r="F74" i="27" s="1"/>
  <c r="C74" i="27" l="1"/>
  <c r="B75" i="27" s="1"/>
  <c r="D75" i="27" s="1"/>
  <c r="E75" i="27" s="1"/>
  <c r="F75" i="27" s="1"/>
  <c r="C75" i="27" l="1"/>
  <c r="B76" i="27" s="1"/>
  <c r="D76" i="27" s="1"/>
  <c r="E76" i="27" s="1"/>
  <c r="F76" i="27" s="1"/>
  <c r="C76" i="27" l="1"/>
  <c r="B77" i="27" s="1"/>
  <c r="D77" i="27" s="1"/>
  <c r="E77" i="27" s="1"/>
  <c r="F77" i="27" s="1"/>
  <c r="C77" i="27" l="1"/>
  <c r="B78" i="27" s="1"/>
  <c r="D78" i="27" s="1"/>
  <c r="E78" i="27" s="1"/>
  <c r="F78" i="27" s="1"/>
  <c r="C78" i="27" l="1"/>
  <c r="C79" i="27" s="1"/>
  <c r="B80" i="27" s="1"/>
  <c r="D80" i="27" s="1"/>
  <c r="B79" i="27" l="1"/>
  <c r="D79" i="27" s="1"/>
  <c r="C80" i="27" s="1"/>
  <c r="B81" i="27" s="1"/>
  <c r="D81" i="27" s="1"/>
  <c r="E81" i="27" s="1"/>
  <c r="F81" i="27" s="1"/>
  <c r="E80" i="27"/>
  <c r="F80" i="27" s="1"/>
  <c r="E79" i="27" l="1"/>
  <c r="F79" i="27" s="1"/>
  <c r="C81" i="27"/>
  <c r="I9" i="29" l="1"/>
  <c r="H9" i="29" l="1"/>
</calcChain>
</file>

<file path=xl/comments1.xml><?xml version="1.0" encoding="utf-8"?>
<comments xmlns="http://schemas.openxmlformats.org/spreadsheetml/2006/main">
  <authors>
    <author>Agencia</author>
  </authors>
  <commentList>
    <comment ref="K14" authorId="0">
      <text>
        <r>
          <rPr>
            <b/>
            <sz val="9"/>
            <color indexed="81"/>
            <rFont val="Tahoma"/>
            <family val="2"/>
          </rPr>
          <t>Agencia:</t>
        </r>
        <r>
          <rPr>
            <sz val="9"/>
            <color indexed="81"/>
            <rFont val="Tahoma"/>
            <family val="2"/>
          </rPr>
          <t xml:space="preserve">
indicar el energético al cual se aplica la medida</t>
        </r>
      </text>
    </comment>
    <comment ref="L14" authorId="0">
      <text>
        <r>
          <rPr>
            <b/>
            <sz val="9"/>
            <color indexed="81"/>
            <rFont val="Tahoma"/>
            <family val="2"/>
          </rPr>
          <t>Agencia:</t>
        </r>
        <r>
          <rPr>
            <sz val="9"/>
            <color indexed="81"/>
            <rFont val="Tahoma"/>
            <family val="2"/>
          </rPr>
          <t xml:space="preserve">
indicar si la medida es aplicable en la empresa asesorada</t>
        </r>
      </text>
    </comment>
    <comment ref="M14" authorId="0">
      <text>
        <r>
          <rPr>
            <b/>
            <sz val="9"/>
            <color indexed="81"/>
            <rFont val="Tahoma"/>
            <family val="2"/>
          </rPr>
          <t>Agencia:</t>
        </r>
        <r>
          <rPr>
            <sz val="9"/>
            <color indexed="81"/>
            <rFont val="Tahoma"/>
            <family val="2"/>
          </rPr>
          <t xml:space="preserve">
indicar ahorro promedio</t>
        </r>
      </text>
    </comment>
    <comment ref="N14" authorId="0">
      <text>
        <r>
          <rPr>
            <b/>
            <sz val="9"/>
            <color indexed="81"/>
            <rFont val="Tahoma"/>
            <family val="2"/>
          </rPr>
          <t>Agencia:</t>
        </r>
        <r>
          <rPr>
            <sz val="9"/>
            <color indexed="81"/>
            <rFont val="Tahoma"/>
            <family val="2"/>
          </rPr>
          <t xml:space="preserve">
seleccionar prioridad recomendada para la empresa asesorada</t>
        </r>
      </text>
    </comment>
    <comment ref="O14" authorId="0">
      <text>
        <r>
          <rPr>
            <b/>
            <sz val="9"/>
            <color indexed="81"/>
            <rFont val="Tahoma"/>
            <family val="2"/>
          </rPr>
          <t>Agencia:</t>
        </r>
        <r>
          <rPr>
            <sz val="9"/>
            <color indexed="81"/>
            <rFont val="Tahoma"/>
            <family val="2"/>
          </rPr>
          <t xml:space="preserve">
Indicar valor aproximado</t>
        </r>
      </text>
    </comment>
    <comment ref="G33" authorId="0">
      <text>
        <r>
          <rPr>
            <b/>
            <sz val="9"/>
            <color indexed="81"/>
            <rFont val="Tahoma"/>
            <family val="2"/>
          </rPr>
          <t>Agencia:</t>
        </r>
        <r>
          <rPr>
            <sz val="9"/>
            <color indexed="81"/>
            <rFont val="Tahoma"/>
            <family val="2"/>
          </rPr>
          <t xml:space="preserve">
Ojo que el uso de calor radiante no necesariamente significa mayor eficiencia. 
Considerar que esta tecnología esta mas bien orientada a casas más que a locales (MIPYME)
Eliminar calor radiante. </t>
        </r>
      </text>
    </comment>
    <comment ref="M34" authorId="0">
      <text>
        <r>
          <rPr>
            <b/>
            <sz val="9"/>
            <color indexed="81"/>
            <rFont val="Tahoma"/>
            <family val="2"/>
          </rPr>
          <t>Agencia:</t>
        </r>
        <r>
          <rPr>
            <sz val="9"/>
            <color indexed="81"/>
            <rFont val="Tahoma"/>
            <family val="2"/>
          </rPr>
          <t xml:space="preserve">
En caso de infiltraciones este valor puede llegar a un 30%</t>
        </r>
      </text>
    </comment>
    <comment ref="D37" authorId="0">
      <text>
        <r>
          <rPr>
            <b/>
            <sz val="9"/>
            <color indexed="81"/>
            <rFont val="Tahoma"/>
            <family val="2"/>
          </rPr>
          <t>Agencia:</t>
        </r>
        <r>
          <rPr>
            <sz val="9"/>
            <color indexed="81"/>
            <rFont val="Tahoma"/>
            <family val="2"/>
          </rPr>
          <t xml:space="preserve">
Si consideramos la realidad nacional de las MIPYMES, éstas utilizan ACS según demanda. Por lo que no sé si esta medida sea un replicable como tal (fuera de lavaneria). </t>
        </r>
      </text>
    </comment>
    <comment ref="M40" authorId="0">
      <text>
        <r>
          <rPr>
            <b/>
            <sz val="9"/>
            <color indexed="81"/>
            <rFont val="Tahoma"/>
            <family val="2"/>
          </rPr>
          <t>Agencia:</t>
        </r>
        <r>
          <rPr>
            <sz val="9"/>
            <color indexed="81"/>
            <rFont val="Tahoma"/>
            <family val="2"/>
          </rPr>
          <t xml:space="preserve">
Se sugiere no considerar más de un 15% de ahorro en ACS. Esto considerando el escenario de inlcuir recuperación de calor en calderas. </t>
        </r>
      </text>
    </comment>
    <comment ref="M41" authorId="0">
      <text>
        <r>
          <rPr>
            <b/>
            <sz val="9"/>
            <color indexed="81"/>
            <rFont val="Tahoma"/>
            <family val="2"/>
          </rPr>
          <t>Agencia:</t>
        </r>
        <r>
          <rPr>
            <sz val="9"/>
            <color indexed="81"/>
            <rFont val="Tahoma"/>
            <family val="2"/>
          </rPr>
          <t xml:space="preserve">
Es posible conaiderar hasta un 5%</t>
        </r>
      </text>
    </comment>
    <comment ref="G45" authorId="0">
      <text>
        <r>
          <rPr>
            <b/>
            <sz val="9"/>
            <color indexed="81"/>
            <rFont val="Tahoma"/>
            <family val="2"/>
          </rPr>
          <t>Agencia:</t>
        </r>
        <r>
          <rPr>
            <sz val="9"/>
            <color indexed="81"/>
            <rFont val="Tahoma"/>
            <family val="2"/>
          </rPr>
          <t xml:space="preserve">
En la actualidad, la diferencia de precio entre partidores suaves y VDF no es una barrera. Por lo que existe una alta probabilidad de sugerir una tecnología obsoleta. </t>
        </r>
      </text>
    </comment>
    <comment ref="M45" authorId="0">
      <text>
        <r>
          <rPr>
            <b/>
            <sz val="9"/>
            <color indexed="81"/>
            <rFont val="Tahoma"/>
            <family val="2"/>
          </rPr>
          <t>Agencia:</t>
        </r>
        <r>
          <rPr>
            <sz val="9"/>
            <color indexed="81"/>
            <rFont val="Tahoma"/>
            <family val="2"/>
          </rPr>
          <t xml:space="preserve">
Si se considera VDF, es posible llegar a ahorros de un 25%, o más según modulación. </t>
        </r>
      </text>
    </comment>
    <comment ref="G47" authorId="0">
      <text>
        <r>
          <rPr>
            <b/>
            <sz val="9"/>
            <color indexed="81"/>
            <rFont val="Tahoma"/>
            <family val="2"/>
          </rPr>
          <t>Agencia:</t>
        </r>
        <r>
          <rPr>
            <sz val="9"/>
            <color indexed="81"/>
            <rFont val="Tahoma"/>
            <family val="2"/>
          </rPr>
          <t xml:space="preserve">
Incompleto. </t>
        </r>
      </text>
    </comment>
    <comment ref="M47" authorId="0">
      <text>
        <r>
          <rPr>
            <b/>
            <sz val="9"/>
            <color indexed="81"/>
            <rFont val="Tahoma"/>
            <family val="2"/>
          </rPr>
          <t>Agencia:</t>
        </r>
        <r>
          <rPr>
            <sz val="9"/>
            <color indexed="81"/>
            <rFont val="Tahoma"/>
            <family val="2"/>
          </rPr>
          <t xml:space="preserve">
Es posible llegar a un 15%</t>
        </r>
      </text>
    </comment>
    <comment ref="M48" authorId="0">
      <text>
        <r>
          <rPr>
            <b/>
            <sz val="9"/>
            <color indexed="81"/>
            <rFont val="Tahoma"/>
            <family val="2"/>
          </rPr>
          <t>Agencia:</t>
        </r>
        <r>
          <rPr>
            <sz val="9"/>
            <color indexed="81"/>
            <rFont val="Tahoma"/>
            <family val="2"/>
          </rPr>
          <t xml:space="preserve">
Es posible llegar a un promedio de 25% de ahorro. [15 al 30%]</t>
        </r>
      </text>
    </comment>
    <comment ref="M51" authorId="0">
      <text>
        <r>
          <rPr>
            <b/>
            <sz val="9"/>
            <color indexed="81"/>
            <rFont val="Tahoma"/>
            <family val="2"/>
          </rPr>
          <t>Agencia:</t>
        </r>
        <r>
          <rPr>
            <sz val="9"/>
            <color indexed="81"/>
            <rFont val="Tahoma"/>
            <family val="2"/>
          </rPr>
          <t xml:space="preserve">
Es posible llegar a un promedio de 25% de ahorro. [15 al 30%]</t>
        </r>
      </text>
    </comment>
    <comment ref="M53" authorId="0">
      <text>
        <r>
          <rPr>
            <b/>
            <sz val="9"/>
            <color indexed="81"/>
            <rFont val="Tahoma"/>
            <family val="2"/>
          </rPr>
          <t>Agencia:</t>
        </r>
        <r>
          <rPr>
            <sz val="9"/>
            <color indexed="81"/>
            <rFont val="Tahoma"/>
            <family val="2"/>
          </rPr>
          <t xml:space="preserve">
Es posible llegar a un promedio de 25% de ahorro. [15 al 30%]</t>
        </r>
      </text>
    </comment>
    <comment ref="M54" authorId="0">
      <text>
        <r>
          <rPr>
            <b/>
            <sz val="9"/>
            <color indexed="81"/>
            <rFont val="Tahoma"/>
            <family val="2"/>
          </rPr>
          <t>Agencia:</t>
        </r>
        <r>
          <rPr>
            <sz val="9"/>
            <color indexed="81"/>
            <rFont val="Tahoma"/>
            <family val="2"/>
          </rPr>
          <t xml:space="preserve">
Las eficiencia de un motor ineficiente y uno eficiente puede llegar a un 10% o más. Esto, sin considerar las pérdidas de eficiencia por deterioro. 
Un 2% de ahorro no justifica el reemplazo. </t>
        </r>
      </text>
    </comment>
    <comment ref="G58" authorId="0">
      <text>
        <r>
          <rPr>
            <b/>
            <sz val="9"/>
            <color indexed="81"/>
            <rFont val="Tahoma"/>
            <family val="2"/>
          </rPr>
          <t>Agencia:</t>
        </r>
        <r>
          <rPr>
            <sz val="9"/>
            <color indexed="81"/>
            <rFont val="Tahoma"/>
            <family val="2"/>
          </rPr>
          <t xml:space="preserve">
Ojo que reducir la presión en el compresor puede provocar fallas y pérdidas de aceite. Hacer recomendación de esta mejora con mucha precaución delimitandolo a lo que permite el equipo de acuerdo a ficha técnica. </t>
        </r>
      </text>
    </comment>
    <comment ref="M60" authorId="0">
      <text>
        <r>
          <rPr>
            <b/>
            <sz val="9"/>
            <color indexed="81"/>
            <rFont val="Tahoma"/>
            <family val="2"/>
          </rPr>
          <t>Agencia:</t>
        </r>
        <r>
          <rPr>
            <sz val="9"/>
            <color indexed="81"/>
            <rFont val="Tahoma"/>
            <family val="2"/>
          </rPr>
          <t xml:space="preserve">
Sólo se ha observado en refrigeración que la  regulación de la T de condensación y regulación de la presión llega a un 7 - 12%. 
Se sugiere un 10%. Adicionalmente, considerar que bajar la presión no siempre aplica ya que impacta en el calor que es posible de extraer en el condensador, y con una baja se debe sobrecargar el trabajo del condensador o en defecto agregar más sistemas de ventilación.</t>
        </r>
      </text>
    </comment>
    <comment ref="M61" authorId="0">
      <text>
        <r>
          <rPr>
            <b/>
            <sz val="9"/>
            <color indexed="81"/>
            <rFont val="Tahoma"/>
            <family val="2"/>
          </rPr>
          <t>Agencia:</t>
        </r>
        <r>
          <rPr>
            <sz val="9"/>
            <color indexed="81"/>
            <rFont val="Tahoma"/>
            <family val="2"/>
          </rPr>
          <t xml:space="preserve">
Puede ser más. Si se considera el deterioro. 
15%</t>
        </r>
      </text>
    </comment>
    <comment ref="G62" authorId="0">
      <text>
        <r>
          <rPr>
            <b/>
            <sz val="9"/>
            <color indexed="81"/>
            <rFont val="Tahoma"/>
            <family val="2"/>
          </rPr>
          <t>Agencia:</t>
        </r>
        <r>
          <rPr>
            <sz val="9"/>
            <color indexed="81"/>
            <rFont val="Tahoma"/>
            <family val="2"/>
          </rPr>
          <t xml:space="preserve">
cual es la diferencia con lo anterior?</t>
        </r>
      </text>
    </comment>
    <comment ref="M62" authorId="0">
      <text>
        <r>
          <rPr>
            <b/>
            <sz val="9"/>
            <color indexed="81"/>
            <rFont val="Tahoma"/>
            <family val="2"/>
          </rPr>
          <t>Agencia:</t>
        </r>
        <r>
          <rPr>
            <sz val="9"/>
            <color indexed="81"/>
            <rFont val="Tahoma"/>
            <family val="2"/>
          </rPr>
          <t xml:space="preserve">
Esto aplica para reemplazo de equipos de refrigeración de los años 80 por sistemas nuevos. 
Si consideramos un reemplazo promedio, 25% ahorro. </t>
        </r>
      </text>
    </comment>
    <comment ref="M72" authorId="0">
      <text>
        <r>
          <rPr>
            <b/>
            <sz val="9"/>
            <color indexed="81"/>
            <rFont val="Tahoma"/>
            <family val="2"/>
          </rPr>
          <t>Agencia:</t>
        </r>
        <r>
          <rPr>
            <sz val="9"/>
            <color indexed="81"/>
            <rFont val="Tahoma"/>
            <family val="2"/>
          </rPr>
          <t xml:space="preserve">
Es posible considerar un ahorro de un 15%</t>
        </r>
      </text>
    </comment>
    <comment ref="M74" authorId="0">
      <text>
        <r>
          <rPr>
            <b/>
            <sz val="9"/>
            <color indexed="81"/>
            <rFont val="Tahoma"/>
            <family val="2"/>
          </rPr>
          <t>Agencia:</t>
        </r>
        <r>
          <rPr>
            <sz val="9"/>
            <color indexed="81"/>
            <rFont val="Tahoma"/>
            <family val="2"/>
          </rPr>
          <t xml:space="preserve">
Es variable dependiendo de la carga de operación promedio. Sin embargo, para aquellos casos donde el equipo se encuentra sobredimencioando o no hay una planificación de producción. Es posible obtener un 10% de ahorro o superior. </t>
        </r>
      </text>
    </comment>
    <comment ref="M80" authorId="0">
      <text>
        <r>
          <rPr>
            <b/>
            <sz val="9"/>
            <color indexed="81"/>
            <rFont val="Tahoma"/>
            <family val="2"/>
          </rPr>
          <t>Agencia:</t>
        </r>
        <r>
          <rPr>
            <sz val="9"/>
            <color indexed="81"/>
            <rFont val="Tahoma"/>
            <family val="2"/>
          </rPr>
          <t xml:space="preserve">
Nunca he visto más de un 5% de ahorro en evaluación de este tipo de proyectos. Sin embargo se recomienda por temas operativos o de mantención. </t>
        </r>
      </text>
    </comment>
    <comment ref="M88" authorId="0">
      <text>
        <r>
          <rPr>
            <b/>
            <sz val="9"/>
            <color indexed="81"/>
            <rFont val="Tahoma"/>
            <family val="2"/>
          </rPr>
          <t>Agencia:</t>
        </r>
        <r>
          <rPr>
            <sz val="9"/>
            <color indexed="81"/>
            <rFont val="Tahoma"/>
            <family val="2"/>
          </rPr>
          <t xml:space="preserve">
No queda claro a qué aplica la medida. 
Proceso productivo?</t>
        </r>
      </text>
    </comment>
    <comment ref="A92" authorId="0">
      <text>
        <r>
          <rPr>
            <b/>
            <sz val="9"/>
            <color indexed="81"/>
            <rFont val="Tahoma"/>
            <family val="2"/>
          </rPr>
          <t>Agencia:</t>
        </r>
        <r>
          <rPr>
            <sz val="9"/>
            <color indexed="81"/>
            <rFont val="Tahoma"/>
            <family val="2"/>
          </rPr>
          <t xml:space="preserve">
agregar otras medidas relevantes no listadas</t>
        </r>
      </text>
    </comment>
  </commentList>
</comments>
</file>

<file path=xl/comments2.xml><?xml version="1.0" encoding="utf-8"?>
<comments xmlns="http://schemas.openxmlformats.org/spreadsheetml/2006/main">
  <authors>
    <author>Agencia</author>
  </authors>
  <commentList>
    <comment ref="H5" authorId="0">
      <text>
        <r>
          <rPr>
            <b/>
            <sz val="9"/>
            <color indexed="81"/>
            <rFont val="Tahoma"/>
            <family val="2"/>
          </rPr>
          <t>Agencia:</t>
        </r>
        <r>
          <rPr>
            <sz val="9"/>
            <color indexed="81"/>
            <rFont val="Tahoma"/>
            <family val="2"/>
          </rPr>
          <t xml:space="preserve">
indicar la tecnología del grupo de luminarias</t>
        </r>
      </text>
    </comment>
    <comment ref="I5" authorId="0">
      <text>
        <r>
          <rPr>
            <b/>
            <sz val="9"/>
            <color indexed="81"/>
            <rFont val="Tahoma"/>
            <family val="2"/>
          </rPr>
          <t>Agencia:</t>
        </r>
        <r>
          <rPr>
            <sz val="9"/>
            <color indexed="81"/>
            <rFont val="Tahoma"/>
            <family val="2"/>
          </rPr>
          <t xml:space="preserve">
indicar el año de instalación promedio de las lámparas de cada grupo</t>
        </r>
      </text>
    </comment>
  </commentList>
</comments>
</file>

<file path=xl/comments3.xml><?xml version="1.0" encoding="utf-8"?>
<comments xmlns="http://schemas.openxmlformats.org/spreadsheetml/2006/main">
  <authors>
    <author>Agencia</author>
  </authors>
  <commentList>
    <comment ref="B6" authorId="0">
      <text>
        <r>
          <rPr>
            <b/>
            <sz val="9"/>
            <color indexed="81"/>
            <rFont val="Tahoma"/>
            <family val="2"/>
          </rPr>
          <t>Agencia:</t>
        </r>
        <r>
          <rPr>
            <sz val="9"/>
            <color indexed="81"/>
            <rFont val="Tahoma"/>
            <family val="2"/>
          </rPr>
          <t xml:space="preserve">
completar con la información del empalme, de haber más de un empalme representativo agregar una de estas hojas por empalme y ajustar la planilla para considerarlas</t>
        </r>
      </text>
    </comment>
  </commentList>
</comments>
</file>

<file path=xl/comments4.xml><?xml version="1.0" encoding="utf-8"?>
<comments xmlns="http://schemas.openxmlformats.org/spreadsheetml/2006/main">
  <authors>
    <author>Agencia</author>
  </authors>
  <commentList>
    <comment ref="B2" authorId="0">
      <text>
        <r>
          <rPr>
            <b/>
            <sz val="9"/>
            <color indexed="81"/>
            <rFont val="Tahoma"/>
            <family val="2"/>
          </rPr>
          <t>Agencia:</t>
        </r>
        <r>
          <rPr>
            <sz val="9"/>
            <color indexed="81"/>
            <rFont val="Tahoma"/>
            <family val="2"/>
          </rPr>
          <t xml:space="preserve">
incluir antigüedad y tecnología</t>
        </r>
      </text>
    </comment>
  </commentList>
</comments>
</file>

<file path=xl/comments5.xml><?xml version="1.0" encoding="utf-8"?>
<comments xmlns="http://schemas.openxmlformats.org/spreadsheetml/2006/main">
  <authors>
    <author>Agencia</author>
  </authors>
  <commentList>
    <comment ref="I6" authorId="0">
      <text>
        <r>
          <rPr>
            <b/>
            <sz val="9"/>
            <color indexed="81"/>
            <rFont val="Tahoma"/>
            <family val="2"/>
          </rPr>
          <t>Agencia:</t>
        </r>
        <r>
          <rPr>
            <sz val="9"/>
            <color indexed="81"/>
            <rFont val="Tahoma"/>
            <family val="2"/>
          </rPr>
          <t xml:space="preserve">
indicar el porcentaje de los consumos que serán indicados individualmente en el diagrama de pareto</t>
        </r>
      </text>
    </comment>
    <comment ref="I7" authorId="0">
      <text>
        <r>
          <rPr>
            <b/>
            <sz val="9"/>
            <color indexed="81"/>
            <rFont val="Tahoma"/>
            <family val="2"/>
          </rPr>
          <t>Agencia:</t>
        </r>
        <r>
          <rPr>
            <sz val="9"/>
            <color indexed="81"/>
            <rFont val="Tahoma"/>
            <family val="2"/>
          </rPr>
          <t xml:space="preserve">
indicar el porcentaje de los costos que serán indicados individualmente en el diagrama de pareto</t>
        </r>
      </text>
    </comment>
    <comment ref="I8" authorId="0">
      <text>
        <r>
          <rPr>
            <b/>
            <sz val="9"/>
            <color indexed="81"/>
            <rFont val="Tahoma"/>
            <family val="2"/>
          </rPr>
          <t>Agencia:</t>
        </r>
        <r>
          <rPr>
            <sz val="9"/>
            <color indexed="81"/>
            <rFont val="Tahoma"/>
            <family val="2"/>
          </rPr>
          <t xml:space="preserve">
indicar el porcentaje de la combinación consumo/costo que serán indicados individualmente en el diagrama de pareto</t>
        </r>
      </text>
    </comment>
    <comment ref="I10" authorId="0">
      <text>
        <r>
          <rPr>
            <b/>
            <sz val="9"/>
            <color indexed="81"/>
            <rFont val="Tahoma"/>
            <family val="2"/>
          </rPr>
          <t>Agencia:</t>
        </r>
        <r>
          <rPr>
            <sz val="9"/>
            <color indexed="81"/>
            <rFont val="Tahoma"/>
            <family val="2"/>
          </rPr>
          <t xml:space="preserve">
indicar como se prioriza entre impacto de consumo e impacto de costo para efectos del diagrama de pareto por priorización</t>
        </r>
      </text>
    </comment>
  </commentList>
</comments>
</file>

<file path=xl/sharedStrings.xml><?xml version="1.0" encoding="utf-8"?>
<sst xmlns="http://schemas.openxmlformats.org/spreadsheetml/2006/main" count="2273" uniqueCount="719">
  <si>
    <t>Número de Cliente</t>
  </si>
  <si>
    <t>Distribuidora Electricidad</t>
  </si>
  <si>
    <t>Detalle Consumos</t>
  </si>
  <si>
    <t>Mes Asociado</t>
  </si>
  <si>
    <t>Consumo Energía Activa (kWh)</t>
  </si>
  <si>
    <t>Demanda Horas Punta
Leída
(kW)</t>
  </si>
  <si>
    <t>Demanda Horas Punta
Facturada
(kW)</t>
  </si>
  <si>
    <t xml:space="preserve">Factor de potencia </t>
  </si>
  <si>
    <t>Recargo Mal Factor de Potencia
($)</t>
  </si>
  <si>
    <t>Otros cargos ($)</t>
  </si>
  <si>
    <t>Total
 S/IVA ($)</t>
  </si>
  <si>
    <t>Total
 C/IVA ($)</t>
  </si>
  <si>
    <t xml:space="preserve">Distribuidora de Gas </t>
  </si>
  <si>
    <t>Consumo Leido (m3)</t>
  </si>
  <si>
    <t>Cargo Fijo ($)</t>
  </si>
  <si>
    <t>Arriendo de Medidor ($)</t>
  </si>
  <si>
    <t xml:space="preserve">Enero </t>
  </si>
  <si>
    <t xml:space="preserve">Febrero </t>
  </si>
  <si>
    <t>Marzo</t>
  </si>
  <si>
    <t>Abril</t>
  </si>
  <si>
    <t>Mayo</t>
  </si>
  <si>
    <t>Junio</t>
  </si>
  <si>
    <t>Julio</t>
  </si>
  <si>
    <t>Agosto</t>
  </si>
  <si>
    <t>Septiembre</t>
  </si>
  <si>
    <t>Octubre</t>
  </si>
  <si>
    <t>Noviembre</t>
  </si>
  <si>
    <t>Diciembre</t>
  </si>
  <si>
    <t xml:space="preserve">Total </t>
  </si>
  <si>
    <t>Volumen (L)</t>
  </si>
  <si>
    <t>Energía Equivalente (kWh)</t>
  </si>
  <si>
    <t>Variable</t>
  </si>
  <si>
    <t>Equiv.</t>
  </si>
  <si>
    <t>Electricidad</t>
  </si>
  <si>
    <t xml:space="preserve">Gas Licuado </t>
  </si>
  <si>
    <t>[kWhe/lt]</t>
  </si>
  <si>
    <t>Gas Natural</t>
  </si>
  <si>
    <t>Febrero</t>
  </si>
  <si>
    <t>Energia Equivalente (kWh)</t>
  </si>
  <si>
    <t>Volumen (Lt)</t>
  </si>
  <si>
    <t xml:space="preserve">Diesel </t>
  </si>
  <si>
    <t>kWh/año</t>
  </si>
  <si>
    <t>Santiago,</t>
  </si>
  <si>
    <t>Total Energéticos</t>
  </si>
  <si>
    <t>Total Fuentes de Energía</t>
  </si>
  <si>
    <t>Total</t>
  </si>
  <si>
    <t>Tipo de combustible</t>
  </si>
  <si>
    <t>Otro (Especificar)</t>
  </si>
  <si>
    <t>Especificar </t>
  </si>
  <si>
    <t>Energía
(kWhe/año)</t>
  </si>
  <si>
    <t>Total Energía
(kWhe/año)</t>
  </si>
  <si>
    <t xml:space="preserve">Energéticos </t>
  </si>
  <si>
    <t xml:space="preserve">Situación Actual </t>
  </si>
  <si>
    <t xml:space="preserve">Dirección </t>
  </si>
  <si>
    <t xml:space="preserve">Comuna </t>
  </si>
  <si>
    <t xml:space="preserve">Región </t>
  </si>
  <si>
    <t>Antecedentes Generales</t>
  </si>
  <si>
    <t xml:space="preserve">Coordenadas </t>
  </si>
  <si>
    <t>Situación Actual</t>
  </si>
  <si>
    <t>Gasto 
($/año)</t>
  </si>
  <si>
    <t>Gasto
($/año)</t>
  </si>
  <si>
    <t xml:space="preserve">Cantidad Luminarias </t>
  </si>
  <si>
    <t>Luminaria/Equipo</t>
  </si>
  <si>
    <t>kWhe/año</t>
  </si>
  <si>
    <t>Potencia (kW)</t>
  </si>
  <si>
    <t xml:space="preserve">Información General </t>
  </si>
  <si>
    <t>Consumo Energía (kWh/año)</t>
  </si>
  <si>
    <t xml:space="preserve"> RESUMEN GAS NATURAL </t>
  </si>
  <si>
    <t xml:space="preserve"> RESUMEN GAS LICUADO </t>
  </si>
  <si>
    <t xml:space="preserve"> RESUMEN DIESEL </t>
  </si>
  <si>
    <t xml:space="preserve">Detalle usos de electricidad </t>
  </si>
  <si>
    <t>N°</t>
  </si>
  <si>
    <t>Tarea</t>
  </si>
  <si>
    <t>Formulario</t>
  </si>
  <si>
    <t>Tarifa Contratada</t>
  </si>
  <si>
    <t>Potencia Contratada 
(kW)</t>
  </si>
  <si>
    <t>Demanda Máxima
Leída
(kW)</t>
  </si>
  <si>
    <t>Demanda Máxima
Facturada
(kW)</t>
  </si>
  <si>
    <t>Costo fijo ($)</t>
  </si>
  <si>
    <t>Costo por transporte ($)</t>
  </si>
  <si>
    <t>Costo de Energía consumida ($)</t>
  </si>
  <si>
    <t>Costo Demanda Horas Punta Facturada ($)</t>
  </si>
  <si>
    <t>Costo Demanda Máxima Facturada ($)</t>
  </si>
  <si>
    <t>Otros cargos y descuentos ($)</t>
  </si>
  <si>
    <t>Costo Potencia Contratada ($)</t>
  </si>
  <si>
    <t>Sector tarifario</t>
  </si>
  <si>
    <t>Tarifa</t>
  </si>
  <si>
    <t>BT2</t>
  </si>
  <si>
    <t>BT3</t>
  </si>
  <si>
    <t>BT4.1</t>
  </si>
  <si>
    <t>BT4.2</t>
  </si>
  <si>
    <t>BT4.3</t>
  </si>
  <si>
    <t>BT5</t>
  </si>
  <si>
    <t>Comuna</t>
  </si>
  <si>
    <t>AT2</t>
  </si>
  <si>
    <t>AT3</t>
  </si>
  <si>
    <t>AT4.1</t>
  </si>
  <si>
    <t>AT4.2</t>
  </si>
  <si>
    <t>AT4.3</t>
  </si>
  <si>
    <t>AT5</t>
  </si>
  <si>
    <t>Cargo fijo mensual ($)</t>
  </si>
  <si>
    <t>Cargo Uso sistema de transmisión ($/kWh)</t>
  </si>
  <si>
    <t>Cargo por servicio público ($/kWh)</t>
  </si>
  <si>
    <t>Cargo por energía ($/kWh)</t>
  </si>
  <si>
    <t>Costo fijo anual ($)</t>
  </si>
  <si>
    <t>Costo UST anual ($)</t>
  </si>
  <si>
    <t>Costo SP anual ($)</t>
  </si>
  <si>
    <t>Costo energía anual ($)</t>
  </si>
  <si>
    <t>Costo total anual ($)</t>
  </si>
  <si>
    <t>Tarifa recomendada</t>
  </si>
  <si>
    <t>Costo anual proyectado tarifa recomendada ($)</t>
  </si>
  <si>
    <t>Tarifas eléctricas</t>
  </si>
  <si>
    <t>CGED</t>
  </si>
  <si>
    <t>Buin</t>
  </si>
  <si>
    <t>SIC-4-2-A</t>
  </si>
  <si>
    <t>Consumo Energía Reactiva (kVArh)</t>
  </si>
  <si>
    <t>no indicada</t>
  </si>
  <si>
    <t>¿Aplica banco condensadores?</t>
  </si>
  <si>
    <t>Consumo reactivo a compensar (kVAr)</t>
  </si>
  <si>
    <t>Ahorro anual ($)</t>
  </si>
  <si>
    <t>Costo inversión ($)</t>
  </si>
  <si>
    <t>Potencia [kVAR]</t>
  </si>
  <si>
    <t>Precio</t>
  </si>
  <si>
    <t>Tamaño banco condensadores (kVAr)</t>
  </si>
  <si>
    <t>Completar la información de consumo y costo de suministro eléctrico</t>
  </si>
  <si>
    <t>Completar información de tarifas eléctricas de las distribuidoras según empalme</t>
  </si>
  <si>
    <t>METROGAS</t>
  </si>
  <si>
    <t>Mes</t>
  </si>
  <si>
    <t>Costo compra de potencia anual ($)</t>
  </si>
  <si>
    <t>* Incluir IVA en cada item</t>
  </si>
  <si>
    <t>Definir si es hora punta o PPP</t>
  </si>
  <si>
    <t>Para BT2 y BT3, consumo es presente en punta?</t>
  </si>
  <si>
    <t>SI</t>
  </si>
  <si>
    <t>NO</t>
  </si>
  <si>
    <t>Consumo anual (kWh)</t>
  </si>
  <si>
    <t>Costo Máxima contratada/leída anual PPP ($)</t>
  </si>
  <si>
    <t>Costo Máxima contratada/suministrada en HP PP anual ($)</t>
  </si>
  <si>
    <t>Cargo por compra/contrato de potencia ($/kW)</t>
  </si>
  <si>
    <t>Demanda/ potencia máxima contratada/ leída (kW)</t>
  </si>
  <si>
    <t>Demanda/ potencia máxima contratada/ suministrada en horas de punta (kW)</t>
  </si>
  <si>
    <t>CONSUMO ELÉCTRICO</t>
  </si>
  <si>
    <t>Número de medidor</t>
  </si>
  <si>
    <t>Cargo por demanda/ potencia máxima contratada/ leída ($/kW)</t>
  </si>
  <si>
    <t>Cargo por demanda/ potencia máxima contratada/ suministrada en horas de punta ($/kW)</t>
  </si>
  <si>
    <t>Información tarifaria</t>
  </si>
  <si>
    <t>Costos proyectados por tarifa</t>
  </si>
  <si>
    <t>Compra/ Contrato de potencia (kW)</t>
  </si>
  <si>
    <t>Información Empalme</t>
  </si>
  <si>
    <t>Detalle costos</t>
  </si>
  <si>
    <t>Potencia hora punta (kW)</t>
  </si>
  <si>
    <t>Inversión generador ($)</t>
  </si>
  <si>
    <t>Resultados tarifa óptima en operación actual</t>
  </si>
  <si>
    <t>Implementan corte de hora punta?</t>
  </si>
  <si>
    <t>PRI (años)</t>
  </si>
  <si>
    <t>Resultados banco de condensadores</t>
  </si>
  <si>
    <t>¿Aplica corte de hora punta?</t>
  </si>
  <si>
    <t>Costo anual de operación ($)</t>
  </si>
  <si>
    <t>Resultados corte de hora punta, tarifa actual</t>
  </si>
  <si>
    <t>Potencia [kW]</t>
  </si>
  <si>
    <t>Consumo Lt/Hr</t>
  </si>
  <si>
    <t>Costo diesel ($/Lt)</t>
  </si>
  <si>
    <t>Consumo tipo (Lt/hr)</t>
  </si>
  <si>
    <t>Horas operación al día (hrs)</t>
  </si>
  <si>
    <t>Completar la información de potencia/demanda contratada/leida máxima/hora punta</t>
  </si>
  <si>
    <t>Insumo</t>
  </si>
  <si>
    <t>Pliego tarifario distribuidora</t>
  </si>
  <si>
    <t>Completar la metodología de cálculo para el punto 4</t>
  </si>
  <si>
    <t>Determinar costo del combustible diesel</t>
  </si>
  <si>
    <t>Facturas de suministro eléctrico</t>
  </si>
  <si>
    <t>Facturas de suministro eléctrico y decreto tarifario</t>
  </si>
  <si>
    <t>s/IVA</t>
  </si>
  <si>
    <t>c/IVA</t>
  </si>
  <si>
    <t>Revisar costo transporte</t>
  </si>
  <si>
    <t>Comentarios</t>
  </si>
  <si>
    <t>Semanas al año</t>
  </si>
  <si>
    <t>Perfil 1</t>
  </si>
  <si>
    <t>Perfil 2</t>
  </si>
  <si>
    <t>Días repetición semana</t>
  </si>
  <si>
    <t>Descripción</t>
  </si>
  <si>
    <t>Tipo de Equipo</t>
  </si>
  <si>
    <t>Horas de uso día</t>
  </si>
  <si>
    <t>Horas totales semana</t>
  </si>
  <si>
    <t>Hora Encendido 1</t>
  </si>
  <si>
    <t>Hora Apagado 1</t>
  </si>
  <si>
    <t>Hora Encendido 2</t>
  </si>
  <si>
    <t>Hora Apagado 2</t>
  </si>
  <si>
    <t>Hora Encendido 3</t>
  </si>
  <si>
    <t>Hora Apagado 3</t>
  </si>
  <si>
    <t>Tipo de equipo</t>
  </si>
  <si>
    <t>Iluminación</t>
  </si>
  <si>
    <t>Motor ventilador</t>
  </si>
  <si>
    <t>Hora</t>
  </si>
  <si>
    <t>G</t>
  </si>
  <si>
    <t>H</t>
  </si>
  <si>
    <t>I</t>
  </si>
  <si>
    <t>J</t>
  </si>
  <si>
    <t>Curvas consumo electricidad</t>
  </si>
  <si>
    <t>Cantidad</t>
  </si>
  <si>
    <t>Potencia total (kW)</t>
  </si>
  <si>
    <t>Potencia unitaria (kW)</t>
  </si>
  <si>
    <t>K</t>
  </si>
  <si>
    <t>L</t>
  </si>
  <si>
    <t>Luminarias oficina 1 tipo 1</t>
  </si>
  <si>
    <t>Luminarias oficina 1 tipo 2</t>
  </si>
  <si>
    <t>Luminarias oficina 2 tipo 3</t>
  </si>
  <si>
    <t>Equipo split oficina 1</t>
  </si>
  <si>
    <t>Usos de electricidad</t>
  </si>
  <si>
    <t>Resumen</t>
  </si>
  <si>
    <t>Consumo (kWh/año)</t>
  </si>
  <si>
    <t>Gasto ($/año)</t>
  </si>
  <si>
    <t>Costo promedio energía c/IVA ($/kWh)</t>
  </si>
  <si>
    <t>Equipos computacionales</t>
  </si>
  <si>
    <t>Servidor</t>
  </si>
  <si>
    <t>Horas de uso (Año)</t>
  </si>
  <si>
    <t>o</t>
  </si>
  <si>
    <t>p</t>
  </si>
  <si>
    <t>q</t>
  </si>
  <si>
    <t>r</t>
  </si>
  <si>
    <t>s</t>
  </si>
  <si>
    <t>t</t>
  </si>
  <si>
    <t>Consumo de energía</t>
  </si>
  <si>
    <t>Cambio combustible Caldera</t>
  </si>
  <si>
    <t>Ahorro en recambio de motores eficientes</t>
  </si>
  <si>
    <t>Ahorro por variador de frecuencia</t>
  </si>
  <si>
    <t>Periodo 1</t>
  </si>
  <si>
    <t>Periodo 2</t>
  </si>
  <si>
    <t>Periodo 3</t>
  </si>
  <si>
    <t>Configuración</t>
  </si>
  <si>
    <t>Factor de estandarización</t>
  </si>
  <si>
    <t>Consumo ($)</t>
  </si>
  <si>
    <t>[kWh]</t>
  </si>
  <si>
    <t>1  [kcal]</t>
  </si>
  <si>
    <t>Información General Suministro</t>
  </si>
  <si>
    <t>Poder calorífico (kcal/m3s)</t>
  </si>
  <si>
    <t>Consumo Equivalente (m3)</t>
  </si>
  <si>
    <t>[Lt/kg]</t>
  </si>
  <si>
    <t>Distribuidora de Diesel</t>
  </si>
  <si>
    <t>Gas natural</t>
  </si>
  <si>
    <t>Gas licuado</t>
  </si>
  <si>
    <t>Diesel</t>
  </si>
  <si>
    <t>Otros</t>
  </si>
  <si>
    <t>kWh</t>
  </si>
  <si>
    <t>$</t>
  </si>
  <si>
    <t>Nombre empresa</t>
  </si>
  <si>
    <t>Contacto empresa</t>
  </si>
  <si>
    <t>B</t>
  </si>
  <si>
    <t>C</t>
  </si>
  <si>
    <t>Tecnología</t>
  </si>
  <si>
    <t>Año instalación</t>
  </si>
  <si>
    <t>Eficacia estimada (Lm/W)</t>
  </si>
  <si>
    <t>Antigüedad (Años)</t>
  </si>
  <si>
    <t>Degradación (%)</t>
  </si>
  <si>
    <t>Equivalente LED (W)</t>
  </si>
  <si>
    <t>Rango Ef.</t>
  </si>
  <si>
    <t>Ef. Tipo</t>
  </si>
  <si>
    <t>SAP</t>
  </si>
  <si>
    <t xml:space="preserve"> Sodio alta presión</t>
  </si>
  <si>
    <t>HM</t>
  </si>
  <si>
    <t xml:space="preserve"> Haluro metálico</t>
  </si>
  <si>
    <t>70-90</t>
  </si>
  <si>
    <t>LED</t>
  </si>
  <si>
    <t xml:space="preserve"> Light Emitting Diode</t>
  </si>
  <si>
    <t>90-130</t>
  </si>
  <si>
    <t>Eficacia v/s LED</t>
  </si>
  <si>
    <t>Vida útil (hrs)</t>
  </si>
  <si>
    <t>Vida útil (Años)</t>
  </si>
  <si>
    <t>SBP</t>
  </si>
  <si>
    <t>Potencia total equivalente LED (W)</t>
  </si>
  <si>
    <t>Ahorro anual (kWh)</t>
  </si>
  <si>
    <t>Sodio baja presión</t>
  </si>
  <si>
    <t>Fluorescente compacta</t>
  </si>
  <si>
    <t>Fluorescente tubo</t>
  </si>
  <si>
    <t>Reemplazo recuperando nivel lumínico original</t>
  </si>
  <si>
    <t>Reemplazo manteniendo nivel lumínico actual</t>
  </si>
  <si>
    <t>Costo ($/Año)</t>
  </si>
  <si>
    <t>Min</t>
  </si>
  <si>
    <t>Max</t>
  </si>
  <si>
    <t>Ahorro energético (kWh/año)</t>
  </si>
  <si>
    <t>Ahorro económico ($/año)</t>
  </si>
  <si>
    <t>% sobre consumo total (Anual)</t>
  </si>
  <si>
    <t>horas de uso estimada anual</t>
  </si>
  <si>
    <t>Combustible</t>
  </si>
  <si>
    <t>Factor</t>
  </si>
  <si>
    <t>Unidad</t>
  </si>
  <si>
    <t>[kWh/m3]</t>
  </si>
  <si>
    <t>[kWhe/l]</t>
  </si>
  <si>
    <t>Petróleo Combustible 5</t>
  </si>
  <si>
    <t>Petróleo Combustible  6</t>
  </si>
  <si>
    <t>[kWhe/m3]</t>
  </si>
  <si>
    <t>Kerosene</t>
  </si>
  <si>
    <t>Leña</t>
  </si>
  <si>
    <t>[kWhe/kg]</t>
  </si>
  <si>
    <t>Biomasa (pellet)</t>
  </si>
  <si>
    <t xml:space="preserve">Otro </t>
  </si>
  <si>
    <t> Especificar</t>
  </si>
  <si>
    <t>Especificar fuente</t>
  </si>
  <si>
    <t>Fuente</t>
  </si>
  <si>
    <t>Factura Hospital Intergas</t>
  </si>
  <si>
    <t>Balance Nacional Energía 2014</t>
  </si>
  <si>
    <t xml:space="preserve"> Oficio N°05562 SEC</t>
  </si>
  <si>
    <t>Ajuste estacional</t>
  </si>
  <si>
    <t>Verano</t>
  </si>
  <si>
    <t>Otoño</t>
  </si>
  <si>
    <t>Invierno</t>
  </si>
  <si>
    <t>Primavera</t>
  </si>
  <si>
    <t>Perfil 1 Verano</t>
  </si>
  <si>
    <t>Perfil 2 Verano</t>
  </si>
  <si>
    <t>Perfil 1 Otoño</t>
  </si>
  <si>
    <t>Perfil 1 Invierno</t>
  </si>
  <si>
    <t>Perfil 1 Primavera</t>
  </si>
  <si>
    <t>AA</t>
  </si>
  <si>
    <t>AB</t>
  </si>
  <si>
    <t>AC</t>
  </si>
  <si>
    <t>AD</t>
  </si>
  <si>
    <t>Perfil 2 Invierno</t>
  </si>
  <si>
    <t>Perfil 2 Otoño</t>
  </si>
  <si>
    <t>Perfil 2 Primavera</t>
  </si>
  <si>
    <t>Consumo de electricidad (kWh/mes)</t>
  </si>
  <si>
    <t>Consumo de gas natural (kWh/mes)</t>
  </si>
  <si>
    <t>Consumo de gas licuado (kWh/mes)</t>
  </si>
  <si>
    <t>Consumo de diesel (kWh/mes)</t>
  </si>
  <si>
    <t>Consumo de electricidad ($/mes)</t>
  </si>
  <si>
    <t>Consumo de gas natural ($/mes)</t>
  </si>
  <si>
    <t>Consumo de gas licuado ($/mes)</t>
  </si>
  <si>
    <t>Consumo de diesel ($/mes)</t>
  </si>
  <si>
    <t>Distribución de energía anual (kWh)</t>
  </si>
  <si>
    <t>Distribución de costos anuales ($)</t>
  </si>
  <si>
    <t>Opciones</t>
  </si>
  <si>
    <t>Propano Diluido</t>
  </si>
  <si>
    <t>prueba 1</t>
  </si>
  <si>
    <t>prueba 2</t>
  </si>
  <si>
    <t>Tarifa óptima</t>
  </si>
  <si>
    <t>N/A</t>
  </si>
  <si>
    <t>Corrección factor de potencia</t>
  </si>
  <si>
    <t>Corte hora punta</t>
  </si>
  <si>
    <t>Recambio de luminarias por LED</t>
  </si>
  <si>
    <t>Consumo anual [m3]</t>
  </si>
  <si>
    <t>Detalle usos de Gas Licuado</t>
  </si>
  <si>
    <t>Antigüedad</t>
  </si>
  <si>
    <t>Detalle usos de Gas Natural</t>
  </si>
  <si>
    <t>Detalle usos de Diesel</t>
  </si>
  <si>
    <t>Generador</t>
  </si>
  <si>
    <t>Camión tipo 1</t>
  </si>
  <si>
    <t>Camión tipo 2</t>
  </si>
  <si>
    <t>Consumo anual [Lt]</t>
  </si>
  <si>
    <t>Usos Gas Natural</t>
  </si>
  <si>
    <t>Usos Gas Licuado</t>
  </si>
  <si>
    <t>Usos Diesel</t>
  </si>
  <si>
    <t>ACS Diesel</t>
  </si>
  <si>
    <t>Vapor Diesel</t>
  </si>
  <si>
    <t>Calefactor Diesel</t>
  </si>
  <si>
    <t>ACS GL</t>
  </si>
  <si>
    <t>Vapor GL</t>
  </si>
  <si>
    <t>Calefactor GL</t>
  </si>
  <si>
    <t>Bomba calor 1 GL</t>
  </si>
  <si>
    <t>Bomba calor 2 GL</t>
  </si>
  <si>
    <t>ACS GN</t>
  </si>
  <si>
    <t>Bomba calor 1 GN</t>
  </si>
  <si>
    <t>Vapor GN</t>
  </si>
  <si>
    <t>Bomba calor 2 GN</t>
  </si>
  <si>
    <t>Calefactor GN</t>
  </si>
  <si>
    <t>Consumo [kWh]</t>
  </si>
  <si>
    <t>ELECTRICIDAD</t>
  </si>
  <si>
    <t>GAS NATURAL</t>
  </si>
  <si>
    <t>Principales usos de la energía</t>
  </si>
  <si>
    <t>GAS LICUADO</t>
  </si>
  <si>
    <t>DIESEL</t>
  </si>
  <si>
    <t>Costo [$]</t>
  </si>
  <si>
    <t>[kWh/kcal]</t>
  </si>
  <si>
    <t>$/kWhe promedio</t>
  </si>
  <si>
    <t>TOTAL</t>
  </si>
  <si>
    <t>Costo total</t>
  </si>
  <si>
    <t>% de consumo total</t>
  </si>
  <si>
    <t>% de costo total</t>
  </si>
  <si>
    <t>Pareto consumo</t>
  </si>
  <si>
    <t>% de consumo agregado</t>
  </si>
  <si>
    <t>% de costo agregado</t>
  </si>
  <si>
    <t>Pareto costos</t>
  </si>
  <si>
    <t>Corte consumos</t>
  </si>
  <si>
    <t>Corte costos</t>
  </si>
  <si>
    <t>Puntaje</t>
  </si>
  <si>
    <t>Ponderador consumo</t>
  </si>
  <si>
    <t>Ponderador costo</t>
  </si>
  <si>
    <t>Corte priorización</t>
  </si>
  <si>
    <t>Puntaje agregado</t>
  </si>
  <si>
    <t>Pareto puntaje</t>
  </si>
  <si>
    <t>Consumo total [kWh/año]</t>
  </si>
  <si>
    <t>Energético</t>
  </si>
  <si>
    <t>OTROS</t>
  </si>
  <si>
    <t>Lum_of_1_1</t>
  </si>
  <si>
    <t>Lum_of_2_3</t>
  </si>
  <si>
    <t>Split_Of_1</t>
  </si>
  <si>
    <t>Variación respecto boletas</t>
  </si>
  <si>
    <t>Tabla tecnologías luminarias</t>
  </si>
  <si>
    <t xml:space="preserve"> RESUMEN ENERGÉTICO</t>
  </si>
  <si>
    <t>Rubro empresa</t>
  </si>
  <si>
    <t>Subrubro empresa</t>
  </si>
  <si>
    <t>Seleccionar rubro</t>
  </si>
  <si>
    <t>Seleccionar subrubro</t>
  </si>
  <si>
    <t>Agricultura y pesca</t>
  </si>
  <si>
    <t>Alimentos y Bebidas</t>
  </si>
  <si>
    <t>Comercio</t>
  </si>
  <si>
    <t>Madera, celulosa y subproductos</t>
  </si>
  <si>
    <t>Mineral metálica y no metálica</t>
  </si>
  <si>
    <t>Manufactora otros</t>
  </si>
  <si>
    <t>Servicios</t>
  </si>
  <si>
    <t>Talleres</t>
  </si>
  <si>
    <t>Otro sector</t>
  </si>
  <si>
    <t>Agrícola</t>
  </si>
  <si>
    <t>Pesca</t>
  </si>
  <si>
    <t>Criadero peces y productos</t>
  </si>
  <si>
    <t>Fruticola</t>
  </si>
  <si>
    <t>Packing y conservación de alimentos</t>
  </si>
  <si>
    <t>Procesamiento bebidas</t>
  </si>
  <si>
    <t>Procesamiento carnes</t>
  </si>
  <si>
    <t>Procesamiento de otros alimentos</t>
  </si>
  <si>
    <t>Procesamiento harina</t>
  </si>
  <si>
    <t>Panadería</t>
  </si>
  <si>
    <t>Lácteo</t>
  </si>
  <si>
    <t>Vitivinícola</t>
  </si>
  <si>
    <t>Comercio alimentos</t>
  </si>
  <si>
    <t>Comercio otros</t>
  </si>
  <si>
    <t>Aserraderos</t>
  </si>
  <si>
    <t>Forestal</t>
  </si>
  <si>
    <t>Manufactura muebles y productos madera</t>
  </si>
  <si>
    <t>Minería</t>
  </si>
  <si>
    <t>Manufactura metálica</t>
  </si>
  <si>
    <t>Manufactura mineral no metálica</t>
  </si>
  <si>
    <t>Manufactura plásticos</t>
  </si>
  <si>
    <t>Manufactura Textil y cueros</t>
  </si>
  <si>
    <t>Educación</t>
  </si>
  <si>
    <t>Hotelero</t>
  </si>
  <si>
    <t>Restaurante</t>
  </si>
  <si>
    <t>Salud</t>
  </si>
  <si>
    <t>Servicios en oficina y atención al público</t>
  </si>
  <si>
    <t>Transporte</t>
  </si>
  <si>
    <t>Imprenta</t>
  </si>
  <si>
    <t>Taller Automotriz</t>
  </si>
  <si>
    <t>Taller reparación maquinaria</t>
  </si>
  <si>
    <t>AGRICULTURA_Y_PESCA</t>
  </si>
  <si>
    <t>COMERCIO</t>
  </si>
  <si>
    <t>MADERA_CELULOSA_Y_SUBPRODUCTOS</t>
  </si>
  <si>
    <t>MINERAL_METALICA_Y_NO_METALICA</t>
  </si>
  <si>
    <t>MANUFACTORA_OTROS</t>
  </si>
  <si>
    <t>SERVICIOS</t>
  </si>
  <si>
    <t>TALLERES</t>
  </si>
  <si>
    <t>OTRO_SECTOR</t>
  </si>
  <si>
    <t>ALIMENTOS_Y_BEBIDAS</t>
  </si>
  <si>
    <t>Indicar región</t>
  </si>
  <si>
    <t>RM</t>
  </si>
  <si>
    <t>XV - Arica y Parinacota</t>
  </si>
  <si>
    <t>II - Antofagasta</t>
  </si>
  <si>
    <t>III - Atacama</t>
  </si>
  <si>
    <t>IV - Coquimbo</t>
  </si>
  <si>
    <t>V - Valparaíso</t>
  </si>
  <si>
    <t>IX - Araucanía</t>
  </si>
  <si>
    <t>XIV - Los Ríos</t>
  </si>
  <si>
    <t>X - Los Lagos</t>
  </si>
  <si>
    <t>VII - Maule</t>
  </si>
  <si>
    <t>VIII - Bíobio</t>
  </si>
  <si>
    <t>I - Tarapacá</t>
  </si>
  <si>
    <t>VI - LGB Ohiggins</t>
  </si>
  <si>
    <t>XI - Aysen GCIC</t>
  </si>
  <si>
    <t>XII - Magallanes</t>
  </si>
  <si>
    <t>SELECCIONAR_RUBRO</t>
  </si>
  <si>
    <t>Sección</t>
  </si>
  <si>
    <t>Uso</t>
  </si>
  <si>
    <t>Ahorro promedio</t>
  </si>
  <si>
    <t>Tipo</t>
  </si>
  <si>
    <t>Prioridad</t>
  </si>
  <si>
    <t>Edificación</t>
  </si>
  <si>
    <t>Incorporar sistemas de control automatico en iluminacion interior</t>
  </si>
  <si>
    <t>Incorporar tecnologías para el control automático de la iluminación tales como sensores de ocupación, regulación automática con luz diurna, control wireless, apagado automático</t>
  </si>
  <si>
    <t>Reemplazo/ adición componente</t>
  </si>
  <si>
    <t>Íncorporar elementos para mejorar el diseño de la instalación</t>
  </si>
  <si>
    <t>Reducir demanda de luz artificial mejorando el diseño de la instalacion, uso de reflectores, reduccion de sombras, lamparas direccionales, campanas high bay, iluminación de escritorios, modificar distribución de interruptores por áreas de uso, entre otros</t>
  </si>
  <si>
    <t>Mejoras diseño/ proceso/ reemplazo equipo</t>
  </si>
  <si>
    <t>Incorporar sistemas de control automatico en iluminacion externa</t>
  </si>
  <si>
    <t>Uso de sensores fotoeléctricos, sensores de movimiento y otros sistemas de control de iluminación y control de intensidad en iluminación exterior</t>
  </si>
  <si>
    <t>Reducir al mínimo requerimientos de iluminación</t>
  </si>
  <si>
    <t>Reducir iluminación a los niveles al interior y al exterior de las instalaciones al mínimo necesario y de seguridad, reducir accesorios de iluminación.</t>
  </si>
  <si>
    <t>Hábito / gestión</t>
  </si>
  <si>
    <t>Aprovechamiento de luz natural</t>
  </si>
  <si>
    <t>Utilización de luz natural a través de ventanas y estructura existente, instalación de tragaluces</t>
  </si>
  <si>
    <t>Limpieza y mantenimiento</t>
  </si>
  <si>
    <t>Limpieza permamente de lámparas y de reflectores</t>
  </si>
  <si>
    <t>Cambio de hábitos de iluminación</t>
  </si>
  <si>
    <t>Hacer de una práctica habitual el apagado de luces que no se utilizan.</t>
  </si>
  <si>
    <t xml:space="preserve">Aire Acondicionado </t>
  </si>
  <si>
    <t>Mejoras en ventilación</t>
  </si>
  <si>
    <t>Monitoreo de CO2 para minimizar el recambio de aire a mínimo de seguridad, reutilización de aire, Centralizar control de ventialdores de extracción para asegurar apagado o establecer programa de apagado manual, apagar ventilación cuando los espacios no se encuentran habitados.</t>
  </si>
  <si>
    <t>Reducir ganancias de calor en la envolvente del edificio</t>
  </si>
  <si>
    <t>Reducir areas con vidrio en edificios, Plantación de árboles o arbustos cerca de ventanas para proteger de carga solar, Reducir ganancias de calor por entintado de ventana, mejorar sombreado en ventanas orientadas al sol, limpiar o pintar de blanco techos para reducir carga solar</t>
  </si>
  <si>
    <t>Optimizar diseño de sistema HVAC</t>
  </si>
  <si>
    <t>Utilización de economizadores, Separar controladores de manejadores de aire de los de sistema de calefacción, instalar timers y/o termoestatos,  instalar sistemas de control de humedad, control de equipos por variadores de frecuencia, rediseño del sistema de distribución.</t>
  </si>
  <si>
    <t>Mejorar practicas de mantenimiento del sistema HVAC</t>
  </si>
  <si>
    <t>Limpieza y mantenimiento de condensadores y torres, sistemas de distribución y de filtros de aire, limpieza de extractores, ajuste en carga de refrigerante.</t>
  </si>
  <si>
    <t>Reemplazo por componentes de mayor eficiencia</t>
  </si>
  <si>
    <t>Reemplazo de sistemas por unidades más eficientes, reemplazo por equipos dimensionados adecuadamente, reemplazo por bombas de calor</t>
  </si>
  <si>
    <t>Mejorar sistema de gestion de energia para optimizar uso de equipos HVAC</t>
  </si>
  <si>
    <t>Programar el uso del sistema de aire acondicionado, Disminución de temperatura, cerrar dampers durante encendido y apagado del sistema, Evitar introducción de aire caliente, húmedo o sucio en el sistema, utilizar pre enfriadores, prevenir operación simultánea de frio y calor</t>
  </si>
  <si>
    <t>Mejorar circulación en conductos de aire en sistema de AC</t>
  </si>
  <si>
    <t>Sellado de conductos de aire con sellantes en base aerosol, Mejorar circulación del aire con ventiladores destratificadores y otros métodos, suministro directo de aire para extracción, utilizar variadores de frecuencia</t>
  </si>
  <si>
    <t>Reducir la demanda de aire acondicionado</t>
  </si>
  <si>
    <t>Acondicionar solo espacio en uso, minimizar en horarios fuera de oficina el uso de aire acondicionado, reducir altura del cielo para minimizar acondicionamiento, instalar divisiones para reducir espacio a acondiconar</t>
  </si>
  <si>
    <t>Reducir inflitraciones de aire exterior al edificio</t>
  </si>
  <si>
    <t>Reemplazo de ventanas rotas o con inflitraciones en marco, mantener ventanas y puertas cerradas, instalar cortinas de aire en zonas de carga y descarga, sellar aperturas del edificio, instalar sellos de puertas y ventanas</t>
  </si>
  <si>
    <t>Mejoras en la aislación del edificio</t>
  </si>
  <si>
    <t>Mejorar aislación de ventanas, muros, cielos y techos, instalar ventanas de doble o triple vidrio, instalar contrapuertas, reemplazar puertas</t>
  </si>
  <si>
    <t>Calefacción</t>
  </si>
  <si>
    <t>Mejoras en sistemas de calefacción en base a caldera</t>
  </si>
  <si>
    <t xml:space="preserve">Control automático de temperatura basados en temperatura exterior, programación del termoestato, ajuste de exceso de aire en la combustion, instalación de economizadores para recuperación de calor de gases de escape, </t>
  </si>
  <si>
    <t>Reemplazo sistema de calefacción por uno de mayor eficiencia</t>
  </si>
  <si>
    <t>Usar calor radiante para calefacción localizada, Reemplazo de sistemas por unidades más eficientes, reemplazo por equipos dimensionados adecuadamente, reemplazo por bombas de calor de alta eficiencia</t>
  </si>
  <si>
    <t>Mejorar eficiencia en sistemas de distribucion de calor</t>
  </si>
  <si>
    <t>Sellado de ductos, aislamiento de ductos.</t>
  </si>
  <si>
    <t>ACS y lavandería</t>
  </si>
  <si>
    <t>Uso de energía eléctrica en calentamiento de agua</t>
  </si>
  <si>
    <t>Utilizar calentadores eléctricos de agua como refuerzo al uso de agua caliente para lavado de vajilla, mejorar el aislamiento de termos eléctricos</t>
  </si>
  <si>
    <t>Reducir uso de agua caliente</t>
  </si>
  <si>
    <t>Configurar correctamente flujo de agua caliente en 6 Litros por minuto en grifería, utilización de aireadores en grifería, utilizar timers o apagado automático en las duchas para fomentar dichas más cortas, utilizar sensores para encendido y apagado automático en grifos para lavado de manos</t>
  </si>
  <si>
    <t>Reemplazo de equipos por alternativas de mayor eficiencia</t>
  </si>
  <si>
    <t>Utilizar generación de calor y almacenamiento de calor de alta eficiencia para usos en agua caliente sanitaria, utilizar lavadoras de ropa y lavavajillas de alta eficiencia</t>
  </si>
  <si>
    <t>Utilización de calor residual para calentamiento de agua</t>
  </si>
  <si>
    <t>Utilizar calor residual de otros procesos o de gases de escape a través de tecnologías de bombas de calor o intercamiadores, para calentar agua o precalentar agua</t>
  </si>
  <si>
    <t>Mejoras en distribución y retorno de agua caliente</t>
  </si>
  <si>
    <t>Reducir pérdidas de calor a través del sellado de ductos y aislamiento</t>
  </si>
  <si>
    <t>Data Center , reducir consumo en sala de servidores</t>
  </si>
  <si>
    <t>Mejorar condiciones para enfriamiento de data centers o uso de servidores virtuales</t>
  </si>
  <si>
    <t>Habitos de uso en equipos de oficina</t>
  </si>
  <si>
    <t>Desenchufar equipos de oficina mientras no se sen, mantener enchufes con interruptores para facilitar desconexión</t>
  </si>
  <si>
    <t>Incorporar sistemas de control automatico en equipos de oficina</t>
  </si>
  <si>
    <t>Uso de sistemas de control para reducir consumo en equipos de oficina como interruptores, monitoreo de consumo, timers, ajuste de brillo de monitores, otros</t>
  </si>
  <si>
    <t>Proceso productivo</t>
  </si>
  <si>
    <t>Motores, usos en tracción y fuerza</t>
  </si>
  <si>
    <t>Mejoras de operación de motores</t>
  </si>
  <si>
    <t>Instalar partidores suaves, utilizar mecanismos más eficientes, utilizar controladores de voltaje.</t>
  </si>
  <si>
    <t>Redimensionamiento en motores</t>
  </si>
  <si>
    <t>Reemplazo de motores sobredimensionados, dimensionar motores para peaks de operación</t>
  </si>
  <si>
    <t>Reemplazo de motores</t>
  </si>
  <si>
    <t>Reemplazo por  motores más eficientes como modelos con</t>
  </si>
  <si>
    <t>Uso de variadores de frecuencia</t>
  </si>
  <si>
    <t>Utilizar variadores de frecuencia en sistemas de carga variable</t>
  </si>
  <si>
    <t>Gestión de motores</t>
  </si>
  <si>
    <t>Minimizar rebobinado de motores, utilización de lubricantes avanzados de larga duración</t>
  </si>
  <si>
    <t>Mejoras en el mantenimiento de motores</t>
  </si>
  <si>
    <t>Estandarizar inventario de motores, establecer programas de mantención preventiva y predictiva de motores, Utilizar solo proveedores de repuestos certificados</t>
  </si>
  <si>
    <t>Compresores, bombas y ventiladores</t>
  </si>
  <si>
    <t>Control de carga variable</t>
  </si>
  <si>
    <t>Utilizar motores de múltiples velocidades o variadores de frecuencia para cargas variables en bombas, ventiladores, sopladores y compresores, Utilizar variadores de frecuencia para reemplazar control por válvula</t>
  </si>
  <si>
    <t>Optimización de bombas</t>
  </si>
  <si>
    <t>Reemplazo de bombas sobredimensionadas, redimensionamiento del rodete. Optimizar flujo y componentes del sistema para mejorar eficiencia, eliminar líneas no utilizadas, eliminar fugas, minimizar componentes que reducen la presión del fluido.</t>
  </si>
  <si>
    <t>Mejoras en ventiladores</t>
  </si>
  <si>
    <t>Ajustar a requerimientos de energía, instalar variadores de frecuencia, mejora de componentes y mejora en prácticas de O&amp;M</t>
  </si>
  <si>
    <t>Reemplazo del motor</t>
  </si>
  <si>
    <t>Reemplazo por motores más eficientes</t>
  </si>
  <si>
    <t>Mejoras en la entrada de aire de compresores</t>
  </si>
  <si>
    <t>Instalar ingreso de aire del compresor en zonas frias, instalar secadores en líneas de aire, instalar colector común de aire, utilizar filtros de aire, Enfriar ingreso de aire con intercambiador de calor</t>
  </si>
  <si>
    <t>Mejorar control de los compresores</t>
  </si>
  <si>
    <t>Redimensionamiento de compresor</t>
  </si>
  <si>
    <t>Utilizar compresor de tamaño óptimo</t>
  </si>
  <si>
    <t>Minimizar demanda de compresor</t>
  </si>
  <si>
    <t>Reducir presión del compresor al mínimo requerido, reducir el uso de aire comprimido, remover o cerrar líneas de aire no utilizadas, Eliminar fugas en líneas y válvulas</t>
  </si>
  <si>
    <t>Refrigeración</t>
  </si>
  <si>
    <t>Utilización de torre de enfriamiento</t>
  </si>
  <si>
    <t>Utilizar sistema con torre de enfriamiento</t>
  </si>
  <si>
    <t>Mejorar configuración en zona de refrigeración</t>
  </si>
  <si>
    <t>Modificar configuración de cámara de refrigeración para operar a menor presión, minimizar temperatura en condensador, configurar al máximo posible temperatura de refrigeración</t>
  </si>
  <si>
    <t>Reemplazo por sistema eficiente industrial</t>
  </si>
  <si>
    <t>Reemplazar sistema existente por modelo de alta eficiencia</t>
  </si>
  <si>
    <t>Reemplazo de equipos de refrigeracion comerciales por equipos con mayor eficiencia</t>
  </si>
  <si>
    <t>Mantenimiento de sistema de refrigeración</t>
  </si>
  <si>
    <t>Evitar la formación de hielo en evaporadores, limpieza de serpentines y filtros</t>
  </si>
  <si>
    <t>Operación eficiente de sistema de refrigeración</t>
  </si>
  <si>
    <t>Apagado del sistema cuando temperatura exterior es menor a la requerida</t>
  </si>
  <si>
    <t>Hornos industriales y secado</t>
  </si>
  <si>
    <t>Mejoras en la combustión</t>
  </si>
  <si>
    <t>Mejora de la relación aire / combustible al óptimo, limitar y controlar aire secundario de combustión, mejoras de control en la combustión, ajuste de quemadores, instalar quemadores de máxima eficiencia</t>
  </si>
  <si>
    <t>Mejoras en la configuración del sistema</t>
  </si>
  <si>
    <t>Relocalizar sistema para mejorar la eficiencia, redimensionar aperturas, incorporar puerta en espacio de carga y descarga, precalentar en batch</t>
  </si>
  <si>
    <t>Mejoras de aislamiento</t>
  </si>
  <si>
    <t>Mejorar, reparar y/o incorporar aislamiento en sistema de calefacción, mejorar aislamiento en paredes, reducir o eliminar infiltraciones de aire, reparar sellos  y ductos</t>
  </si>
  <si>
    <t>Incorporación de componentes</t>
  </si>
  <si>
    <t>Instalar regulador de tiro automático en chimenea</t>
  </si>
  <si>
    <t>Reemplazo por hornos Oxyfuel</t>
  </si>
  <si>
    <t xml:space="preserve">Instalar hornos tipo Oxy-fuel que permiten enriquecer oxígeno en ambiente de combustión </t>
  </si>
  <si>
    <t>Optimización de la demanda</t>
  </si>
  <si>
    <t>Configurar a temperatura óptima el sistema, reducir ventilación al mínimo de seguridad, utilizar el horno a carga completa programando carga en batch, programar operación acorde al tamaño de los productos, calentar únicamente los productos, partes o materiales necesarios.</t>
  </si>
  <si>
    <t>Reemplazo por sistemas eficientes en secado</t>
  </si>
  <si>
    <t>Reemplazar sistema de calentamiento por unidad de alta eficiencia, en el caso de secadores utilizar secadores con recuperación de calor y de secado directo</t>
  </si>
  <si>
    <t>Reemplazo por sistemas eficientes en horno</t>
  </si>
  <si>
    <t>Reemplazar por sistemas con mejores características de transferencia de calor mejor intensidad de llama, precalentarores de aire y sistemas de control optimizados</t>
  </si>
  <si>
    <t>Recuperación de calor</t>
  </si>
  <si>
    <t>Utilizar gases de escape para precalentamiento de aire, utilizar gases de escape para otros procesos con caldera de recuperación, uso directo en precalentamiento de productos, de aire o de agua, recuperación de calor de otros componentes</t>
  </si>
  <si>
    <t>Calderas de agua y vapor para procesos</t>
  </si>
  <si>
    <t>Mejoras de operación en la caldera</t>
  </si>
  <si>
    <t>Operar calderas a carga máxima, aumentar temperatura de entrada de aire de combustión, reducir presión al mínimo necesario</t>
  </si>
  <si>
    <t>Reemplazo de calderas</t>
  </si>
  <si>
    <t>Reemplazo de calderas obsoletas o antoguas por modelos más eficientes</t>
  </si>
  <si>
    <t>Incorporación de componentes enla caldera</t>
  </si>
  <si>
    <t>Instalar turbuladores, instalar calderas de menor tamaño para operación a mayor carga</t>
  </si>
  <si>
    <t>Mantenimiento caldera</t>
  </si>
  <si>
    <t>Mejorar mantenimiento de calderas para evitar incrustaciones, cenizas y otros, mejorar limpieza de tubos</t>
  </si>
  <si>
    <t>Mejoras de combustión en caldera</t>
  </si>
  <si>
    <t>Mejora de la relación aire / combustible al óptimo, mejoras de control en la combustión, ajuste de quemadores, instalar quemadores de máxima eficiencia</t>
  </si>
  <si>
    <t>Mejoras en la purga</t>
  </si>
  <si>
    <t>Mejoras en trampas de vapor en línea de distribución</t>
  </si>
  <si>
    <t xml:space="preserve">Instalar trampas de vapor, redimensionar trampas de vapor, reparar o remplazar trampas de vapor, cortar trampas de vapor en líneas en desuso, </t>
  </si>
  <si>
    <t>Mejoras en retorno de condensado de líneas de distribución</t>
  </si>
  <si>
    <t>Aumentar la cantidad de retorno de condensado, mejorar aislamiento en líneas de retorno de condensado, reducir presión de consensado al óptimo, reutilizar consensado</t>
  </si>
  <si>
    <t>Mejoras en estanque de condensado, alimentación de agua o almacenamiento de calor</t>
  </si>
  <si>
    <t>aislar estanque de condensado, instalar desaireador en estanque de condensado; Instalar, mejorar o reparar aislación de estanque de almacenamiento, cubrir estanques abiertos</t>
  </si>
  <si>
    <t>Aislación de sistema de distribución de agua / vapor</t>
  </si>
  <si>
    <t>Aislación de líneas de vapor o agua caliente, reparación de aislación, reparación de fugas en líneas y válvulas, cierre de líneas en desuso</t>
  </si>
  <si>
    <t>Utilizar calor de gases de escape para precalentamiento de aire, con economizador para precalentar agua, utilizar para otros procesos de calentamiento o precalentamiento</t>
  </si>
  <si>
    <t>Todos</t>
  </si>
  <si>
    <t>Acciones generales</t>
  </si>
  <si>
    <t>Mantenimiento y limpieza general</t>
  </si>
  <si>
    <t>Establecer programas de mantención y limpieza de equipos de mayor consumo de energía</t>
  </si>
  <si>
    <t>Operación y conductuales</t>
  </si>
  <si>
    <t>Apagar equipos durante descansos, reducción del tiempo de operación, apagar pilotos durante periodos fuera de turno, utilización de equipos en su capacidad máxima, reducir temperatura de operación en periodos de standby, minimizar operación en periodos de standby</t>
  </si>
  <si>
    <t>Control de operación</t>
  </si>
  <si>
    <t>Utilizar control automático para la operación de equipos y artefactos solo cuando es necesario, instalar timers</t>
  </si>
  <si>
    <t>Rediseño del proceso</t>
  </si>
  <si>
    <t>Rediseño del proceso para mejorar la eficiencia energética</t>
  </si>
  <si>
    <t>Gestión energética, monitoreo energético</t>
  </si>
  <si>
    <t>Gestión, planificación, monitoreo e implementación de estrategias de control operacional</t>
  </si>
  <si>
    <t>Texto informe</t>
  </si>
  <si>
    <t>Título informe</t>
  </si>
  <si>
    <t>Aplica?</t>
  </si>
  <si>
    <t>Payback [años]</t>
  </si>
  <si>
    <t>Equipos de oficina</t>
  </si>
  <si>
    <t>Proyectores galpón interior</t>
  </si>
  <si>
    <t>Proyectores galpón exterior</t>
  </si>
  <si>
    <t>Compresores</t>
  </si>
  <si>
    <t>Ventiladores</t>
  </si>
  <si>
    <t xml:space="preserve"> $                 -  </t>
  </si>
  <si>
    <t>Combustibles</t>
  </si>
  <si>
    <t>Optimizar cantidad de purgas, mejorar tratamiento de agua, utilizar calor de purgas</t>
  </si>
  <si>
    <t>Optimizar uso energetico en el edificio y aplicar prácticas de mantención</t>
  </si>
  <si>
    <t>Rediseñar uso de espacio en el edificio para aprovechar requerimientos energéticos</t>
  </si>
  <si>
    <t>Indicar energético</t>
  </si>
  <si>
    <t>CONSUMO POR SISTEMAS (TODOS LOS ENERGÉTICOS)</t>
  </si>
  <si>
    <t>CONSUMO POR SISTEMAS (COMBUSTIBLES)</t>
  </si>
  <si>
    <t>Inversión [$]</t>
  </si>
  <si>
    <t>Ahorro costos anual [$]</t>
  </si>
  <si>
    <t>Ahorro energía anual [kWh]</t>
  </si>
  <si>
    <t>Perfil eléctrico 1</t>
  </si>
  <si>
    <t>Perfil eléctrico 2</t>
  </si>
  <si>
    <t>Total anual</t>
  </si>
  <si>
    <t>Usos de la Energía</t>
  </si>
  <si>
    <t>Otras</t>
  </si>
  <si>
    <t>…</t>
  </si>
  <si>
    <t>Medidas EE</t>
  </si>
  <si>
    <t>% sobre consumo de sistema (Anual)</t>
  </si>
  <si>
    <t>Medidas EE Electricidad (*)</t>
  </si>
  <si>
    <t>Medidas EE Combustibles (*)</t>
  </si>
  <si>
    <t>Medidas EE General (*)</t>
  </si>
  <si>
    <t xml:space="preserve">(*) Considera una medida de EE, especificamente la que presenta mayor ahorro según energético </t>
  </si>
  <si>
    <t>Resumen consumos y usos</t>
  </si>
  <si>
    <t>Informe de autodignóstico y datos reserva hora</t>
  </si>
  <si>
    <t>Completar "Antecedentes Generales" de empresa</t>
  </si>
  <si>
    <t>Completar información de consumo de gas natural</t>
  </si>
  <si>
    <t>Facturas de suministro de gas natural</t>
  </si>
  <si>
    <t>Completar información de consumo de gas licuado</t>
  </si>
  <si>
    <t>Completar información de consumo de diesel</t>
  </si>
  <si>
    <t>Facturas de suministro de gas licuado</t>
  </si>
  <si>
    <t>Facturas de suministro de diesel</t>
  </si>
  <si>
    <t>Agregar hojas</t>
  </si>
  <si>
    <t>Crear y completar los formularios correspondientes a otros tipos de energéticos relevantes</t>
  </si>
  <si>
    <t>Crear los gráficos de otros tipos de energéticos que fueron integrados</t>
  </si>
  <si>
    <t>Gráficos consumos</t>
  </si>
  <si>
    <t>Hojas de otros energéticos</t>
  </si>
  <si>
    <t>Demanda Máxima
Leída (kW)</t>
  </si>
  <si>
    <t>Demanda Horas Punta Leída (kW)</t>
  </si>
  <si>
    <t>Potencia necesaria (kW)</t>
  </si>
  <si>
    <t>Valores considerados:</t>
  </si>
  <si>
    <t>Crear los formularios asociados a otros energéticos que fueron integrados</t>
  </si>
  <si>
    <t>Integrar otros energéticos en la hoja "resumen usos"</t>
  </si>
  <si>
    <t>Usar como base las tablas existentes, ajustar fórmulas</t>
  </si>
  <si>
    <t>Resumen usos</t>
  </si>
  <si>
    <t>Gráficos usos</t>
  </si>
  <si>
    <t>Instrucciones</t>
  </si>
  <si>
    <t>Completar solo las celdas en blanco</t>
  </si>
  <si>
    <t>Cambios en las celdas de color deben ser justificados</t>
  </si>
  <si>
    <t>Completar la hoja de sistemas de electricidad. Indicar tipo de equipo, denominación, cantidad, potencia, horario de operación, días a la semana que se repiten los horarios de un perfil (se disponen dos perfiles en caso de requerirse) y factor de uso según estación del año. Notar que la celda AJ17 indica la desviación de la energía consumida según la información de las boletas y la estimada en la hoja. Se acepta variaciones de hasta 5%, de lo contrario se deben realizar ajustes.</t>
  </si>
  <si>
    <t>Usos electricidad</t>
  </si>
  <si>
    <t>En caso de sistemas que utilicen dos o más energéticos se deberá separar dicho sistema por sus componentes consumidores</t>
  </si>
  <si>
    <t>Completar la hoja de sistemas de gas natural. Indicar tipo de equipo, denominación, técnología, antigüedad, cantidad, consumo anual. Notar que la celda L17 indica la desviación de la energía consumida según la información de las boletas y la estimada en la hoja. Se acepta variaciones de hasta 5%, de lo contrario se deben realizar ajustes.</t>
  </si>
  <si>
    <t>Usos gas natural</t>
  </si>
  <si>
    <t>Completar la hoja de sistemas de gas licuado. Indicar tipo de equipo, denominación, técnología, antigüedad, cantidad, consumo anual. Notar que la celda L17 indica la desviación de la energía consumida según la información de las boletas y la estimada en la hoja. Se acepta variaciones de hasta 5%, de lo contrario se deben realizar ajustes.</t>
  </si>
  <si>
    <t>Usos gas licuado</t>
  </si>
  <si>
    <t>Completar la hoja de sistemas de diesel. Indicar tipo de equipo, denominación, técnología, antigüedad, cantidad, consumo anual. Notar que la celda L17 indica la desviación de la energía consumida según la información de las boletas y la estimada en la hoja. Se acepta variaciones de hasta 5%, de lo contrario se deben realizar ajustes.</t>
  </si>
  <si>
    <t>Usos diesel</t>
  </si>
  <si>
    <t>Ajustar los parámetros de gráfico pareto y priorización de sistemas</t>
  </si>
  <si>
    <t>Completar hoja recambio de luminarias con la tecnología y antigüedad.</t>
  </si>
  <si>
    <t xml:space="preserve"> Completar la lista de tecnologías de iluminación de ser necesario</t>
  </si>
  <si>
    <t>Recambio de luminarias</t>
  </si>
  <si>
    <t>Listas</t>
  </si>
  <si>
    <t>Analizar resultados y verificar consistencia</t>
  </si>
  <si>
    <t>Entrevista con personal de la empresa</t>
  </si>
  <si>
    <t>Facturas de suministro de otros energéticos. Usar formato de hojas de consumo de energéticos ya existentes</t>
  </si>
  <si>
    <t>Hojas de otros energéticos. Formato de gráficos existentes</t>
  </si>
  <si>
    <t>Usar como base otra hoja de usos que ya exista</t>
  </si>
  <si>
    <t>Completar las hojas de sistemas de otros energéticos relevantes.</t>
  </si>
  <si>
    <t>Entrevista con personal de la empresa. Usar formato de hojas de usos ya existentes</t>
  </si>
  <si>
    <t>Usar hojas agregadas anteriormente</t>
  </si>
  <si>
    <t>Hojas de usos de energéticos</t>
  </si>
  <si>
    <t>Redactar informe utilizando el formato adjunto y los gráficos generados con esta planilla</t>
  </si>
  <si>
    <t>Completar hoja medidas EE. Indicar las medidas que aplican, el/los energético involucrado, el % de ahorro esperado, la prioridad de cada medida que aplica, el PRI y la inversión</t>
  </si>
  <si>
    <t>Indicar a continuación la metodología utilizada para determinar los valores de potencia contratada, comprada y en hora punta, así como los de demanda leida y leida en hora punta, para los cuales no se contó con la información por boleta/factura</t>
  </si>
  <si>
    <t>En caso de proponer cortar hora punta recalcular tarifa óptima considerando nueva demanda de hora punta</t>
  </si>
  <si>
    <t/>
  </si>
  <si>
    <t>Solicitar las facturas/boletas de suministro eléctrico del cliente, de los últimos 12 meses de operación. Completar una de estas planillas para cada empalme existente en sus instalaciones. Completar la información de los recuadros en color blanco. En caso de tarifas que no leen demanda, consultar al cliente si posee lecturas de curva de carga o medidores con lectura horaria de demanda, en caso que los tenga solicitar al cliente los registros de demanda leida de los últimos 12 meses de operación. Los datos necesarios para cada tarifa, que no estén disponibles, estimarlos de acuerdo a la información disponible, indicando claramente la metodología utilizada en el recuadro de la fila 66. Evaluar los resultados obtenidos y recomendar cambios tarifarios que resulten más económicos. En caso que corresponda, determinar el banco de condensadores requerido para ajustar el factor de potencia. Insertar análisis, recomendaciones y conclusiones en informe.</t>
  </si>
  <si>
    <t>Perfil horario tipo 1 (Ej: Días de semana)</t>
  </si>
  <si>
    <t>Perfil horario tipo 2 (Ej: Días fin de semana)</t>
  </si>
  <si>
    <t>Potencia ajustada por estación</t>
  </si>
  <si>
    <t>Esta planilla será revisada periodicamente para realizar correcciones, mejoras e incorporar metodologías de evaluación de medidas tipo</t>
  </si>
  <si>
    <t>Facturas de consumo diesel, www.bencinaenlinea.cl y/o tarifas de distribuidoras</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</si>
</sst>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6" formatCode="&quot;$&quot;\ #,##0;[Red]\-&quot;$&quot;\ #,##0"/>
    <numFmt numFmtId="44" formatCode="_-&quot;$&quot;\ * #,##0.00_-;\-&quot;$&quot;\ * #,##0.00_-;_-&quot;$&quot;\ * &quot;-&quot;??_-;_-@_-"/>
    <numFmt numFmtId="43" formatCode="_-* #,##0.00_-;\-* #,##0.00_-;_-* &quot;-&quot;??_-;_-@_-"/>
    <numFmt numFmtId="164" formatCode="_-* #,##0.00\ _€_-;\-* #,##0.00\ _€_-;_-* &quot;-&quot;??\ _€_-;_-@_-"/>
    <numFmt numFmtId="165" formatCode="&quot;$&quot;#,##0"/>
    <numFmt numFmtId="166" formatCode="[$$-340A]\ #,##0;\-[$$-340A]\ #,##0"/>
    <numFmt numFmtId="167" formatCode="mmm/yyyy"/>
    <numFmt numFmtId="168" formatCode="#,##0.0\ _€"/>
    <numFmt numFmtId="169" formatCode="#,##0.00_ ;[Red]\-#,##0.00\ "/>
    <numFmt numFmtId="170" formatCode="[$-F800]dddd\,\ mmmm\ dd\,\ yyyy"/>
    <numFmt numFmtId="171" formatCode="_-* #,##0.00_-;\-* #,##0.00_-;_-* &quot;-&quot;_-;_-@_-"/>
    <numFmt numFmtId="172" formatCode="0.000"/>
    <numFmt numFmtId="173" formatCode="_-&quot;$&quot;\ * #,##0_-;\-&quot;$&quot;\ * #,##0_-;_-&quot;$&quot;\ * &quot;-&quot;??_-;_-@_-"/>
    <numFmt numFmtId="174" formatCode="_-* #,##0_-;\-* #,##0_-;_-* &quot;-&quot;??_-;_-@_-"/>
    <numFmt numFmtId="175" formatCode="0.0"/>
    <numFmt numFmtId="176" formatCode="_-* #,##0.0_-;\-* #,##0.0_-;_-* &quot;-&quot;??_-;_-@_-"/>
    <numFmt numFmtId="177" formatCode="#,##0.000000"/>
    <numFmt numFmtId="178" formatCode="0.0%"/>
  </numFmts>
  <fonts count="47" x14ac:knownFonts="1">
    <font>
      <sz val="11"/>
      <color theme="1"/>
      <name val="Calibri"/>
      <family val="2"/>
      <scheme val="minor"/>
    </font>
    <font>
      <sz val="10"/>
      <name val="Arial"/>
      <family val="2"/>
    </font>
    <font>
      <sz val="11"/>
      <color indexed="8"/>
      <name val="Calibri"/>
      <family val="2"/>
    </font>
    <font>
      <sz val="10"/>
      <name val="Arial"/>
      <family val="2"/>
    </font>
    <font>
      <b/>
      <sz val="10"/>
      <name val="Arial"/>
      <family val="2"/>
    </font>
    <font>
      <b/>
      <sz val="12"/>
      <name val="Arial"/>
      <family val="2"/>
    </font>
    <font>
      <b/>
      <sz val="10"/>
      <color theme="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color theme="1"/>
      <name val="Calibri"/>
      <family val="2"/>
      <scheme val="minor"/>
    </font>
    <font>
      <sz val="11"/>
      <color rgb="FF000000"/>
      <name val="Calibri"/>
      <family val="2"/>
      <scheme val="minor"/>
    </font>
    <font>
      <sz val="11"/>
      <color theme="0" tint="-0.499984740745262"/>
      <name val="Calibri"/>
      <family val="2"/>
      <scheme val="minor"/>
    </font>
    <font>
      <sz val="7"/>
      <name val="Arial"/>
      <family val="2"/>
    </font>
    <font>
      <b/>
      <sz val="11"/>
      <name val="Arial"/>
      <family val="2"/>
    </font>
    <font>
      <b/>
      <sz val="9"/>
      <color theme="1"/>
      <name val="Calibri"/>
      <family val="2"/>
      <scheme val="minor"/>
    </font>
    <font>
      <sz val="9"/>
      <name val="Arial"/>
      <family val="2"/>
    </font>
    <font>
      <b/>
      <sz val="9"/>
      <name val="Arial"/>
      <family val="2"/>
    </font>
    <font>
      <b/>
      <sz val="9"/>
      <color theme="0"/>
      <name val="Arial"/>
      <family val="2"/>
    </font>
    <font>
      <b/>
      <sz val="9"/>
      <color theme="3"/>
      <name val="Calibri"/>
      <family val="2"/>
      <scheme val="minor"/>
    </font>
    <font>
      <sz val="10"/>
      <color rgb="FFFF0000"/>
      <name val="Arial"/>
      <family val="2"/>
    </font>
    <font>
      <b/>
      <sz val="11"/>
      <color theme="1"/>
      <name val="Arial"/>
      <family val="2"/>
    </font>
    <font>
      <u/>
      <sz val="11"/>
      <color theme="10"/>
      <name val="Calibri"/>
      <family val="2"/>
      <scheme val="minor"/>
    </font>
    <font>
      <b/>
      <sz val="12"/>
      <color theme="0"/>
      <name val="Arial"/>
      <family val="2"/>
    </font>
    <font>
      <b/>
      <sz val="10"/>
      <color theme="1"/>
      <name val="Arial"/>
      <family val="2"/>
    </font>
    <font>
      <sz val="10"/>
      <color theme="1"/>
      <name val="Calibri"/>
      <family val="2"/>
      <scheme val="minor"/>
    </font>
    <font>
      <sz val="10"/>
      <color theme="0"/>
      <name val="Arial"/>
      <family val="2"/>
    </font>
    <font>
      <sz val="9"/>
      <color indexed="81"/>
      <name val="Tahoma"/>
      <family val="2"/>
    </font>
    <font>
      <b/>
      <sz val="9"/>
      <color indexed="81"/>
      <name val="Tahoma"/>
      <family val="2"/>
    </font>
    <font>
      <b/>
      <sz val="11"/>
      <color theme="0"/>
      <name val="Arial"/>
      <family val="2"/>
    </font>
    <font>
      <sz val="11"/>
      <name val="Calibri"/>
      <family val="2"/>
      <scheme val="minor"/>
    </font>
    <font>
      <sz val="11"/>
      <color theme="4"/>
      <name val="Calibri"/>
      <family val="2"/>
      <scheme val="minor"/>
    </font>
    <font>
      <b/>
      <sz val="14"/>
      <color theme="0"/>
      <name val="Calibri"/>
      <family val="2"/>
      <scheme val="minor"/>
    </font>
    <font>
      <b/>
      <u/>
      <sz val="11"/>
      <color theme="1"/>
      <name val="Calibri"/>
      <family val="2"/>
      <scheme val="minor"/>
    </font>
  </fonts>
  <fills count="43">
    <fill>
      <patternFill patternType="none"/>
    </fill>
    <fill>
      <patternFill patternType="gray125"/>
    </fill>
    <fill>
      <patternFill patternType="solid">
        <fgColor theme="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theme="0" tint="-4.9989318521683403E-2"/>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4"/>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style="medium">
        <color indexed="64"/>
      </left>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medium">
        <color indexed="64"/>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rgb="FF3F3F3F"/>
      </left>
      <right/>
      <top style="thin">
        <color rgb="FF3F3F3F"/>
      </top>
      <bottom style="thin">
        <color rgb="FF3F3F3F"/>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s>
  <cellStyleXfs count="81">
    <xf numFmtId="0" fontId="0" fillId="0" borderId="0"/>
    <xf numFmtId="0" fontId="1"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2" fillId="0" borderId="0"/>
    <xf numFmtId="0" fontId="2" fillId="0" borderId="0"/>
    <xf numFmtId="0" fontId="3" fillId="0" borderId="0"/>
    <xf numFmtId="166" fontId="3" fillId="0" borderId="0"/>
    <xf numFmtId="0" fontId="3" fillId="0" borderId="0"/>
    <xf numFmtId="9" fontId="3" fillId="0" borderId="0" applyFont="0" applyFill="0" applyBorder="0" applyAlignment="0" applyProtection="0"/>
    <xf numFmtId="43" fontId="7" fillId="0" borderId="0" applyFont="0" applyFill="0" applyBorder="0" applyAlignment="0" applyProtection="0"/>
    <xf numFmtId="0" fontId="8" fillId="0" borderId="0" applyNumberFormat="0" applyFill="0" applyBorder="0" applyAlignment="0" applyProtection="0"/>
    <xf numFmtId="0" fontId="9" fillId="0" borderId="3" applyNumberFormat="0" applyFill="0" applyAlignment="0" applyProtection="0"/>
    <xf numFmtId="0" fontId="10" fillId="0" borderId="4" applyNumberFormat="0" applyFill="0" applyAlignment="0" applyProtection="0"/>
    <xf numFmtId="0" fontId="11" fillId="0" borderId="5" applyNumberFormat="0" applyFill="0" applyAlignment="0" applyProtection="0"/>
    <xf numFmtId="0" fontId="11" fillId="0" borderId="0" applyNumberFormat="0" applyFill="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0" applyNumberFormat="0" applyBorder="0" applyAlignment="0" applyProtection="0"/>
    <xf numFmtId="0" fontId="15" fillId="6" borderId="6" applyNumberFormat="0" applyAlignment="0" applyProtection="0"/>
    <xf numFmtId="0" fontId="16" fillId="7" borderId="7" applyNumberFormat="0" applyAlignment="0" applyProtection="0"/>
    <xf numFmtId="0" fontId="17" fillId="7" borderId="6" applyNumberFormat="0" applyAlignment="0" applyProtection="0"/>
    <xf numFmtId="0" fontId="18" fillId="8" borderId="8" applyNumberFormat="0" applyAlignment="0" applyProtection="0"/>
    <xf numFmtId="0" fontId="19" fillId="0" borderId="0" applyNumberFormat="0" applyFill="0" applyBorder="0" applyAlignment="0" applyProtection="0"/>
    <xf numFmtId="0" fontId="7" fillId="9" borderId="9" applyNumberFormat="0" applyFont="0" applyAlignment="0" applyProtection="0"/>
    <xf numFmtId="0" fontId="20" fillId="0" borderId="0" applyNumberFormat="0" applyFill="0" applyBorder="0" applyAlignment="0" applyProtection="0"/>
    <xf numFmtId="0" fontId="21" fillId="0" borderId="10" applyNumberFormat="0" applyFill="0" applyAlignment="0" applyProtection="0"/>
    <xf numFmtId="0" fontId="22"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22" fillId="29" borderId="0" applyNumberFormat="0" applyBorder="0" applyAlignment="0" applyProtection="0"/>
    <xf numFmtId="0" fontId="22"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2" fillId="33" borderId="0" applyNumberFormat="0" applyBorder="0" applyAlignment="0" applyProtection="0"/>
    <xf numFmtId="0" fontId="25" fillId="34" borderId="13" applyNumberFormat="0" applyAlignment="0" applyProtection="0"/>
    <xf numFmtId="0" fontId="24" fillId="0" borderId="0"/>
    <xf numFmtId="0" fontId="24" fillId="0" borderId="0"/>
    <xf numFmtId="0" fontId="24" fillId="0" borderId="0"/>
    <xf numFmtId="43" fontId="24" fillId="0" borderId="0" applyFont="0" applyFill="0" applyBorder="0" applyAlignment="0" applyProtection="0"/>
    <xf numFmtId="9" fontId="24" fillId="0" borderId="0" applyFont="0" applyFill="0" applyBorder="0" applyAlignment="0" applyProtection="0"/>
    <xf numFmtId="0" fontId="7" fillId="0" borderId="0"/>
    <xf numFmtId="0" fontId="7" fillId="9" borderId="9"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24" fillId="0" borderId="0"/>
    <xf numFmtId="43" fontId="24" fillId="0" borderId="0" applyFont="0" applyFill="0" applyBorder="0" applyAlignment="0" applyProtection="0"/>
    <xf numFmtId="9" fontId="24" fillId="0" borderId="0" applyFont="0" applyFill="0" applyBorder="0" applyAlignment="0" applyProtection="0"/>
    <xf numFmtId="168" fontId="7" fillId="0" borderId="0"/>
    <xf numFmtId="164" fontId="7" fillId="0" borderId="0" applyFont="0" applyFill="0" applyBorder="0" applyAlignment="0" applyProtection="0"/>
    <xf numFmtId="169" fontId="7" fillId="0" borderId="0"/>
    <xf numFmtId="44" fontId="7" fillId="0" borderId="0" applyFont="0" applyFill="0" applyBorder="0" applyAlignment="0" applyProtection="0"/>
    <xf numFmtId="0" fontId="35" fillId="0" borderId="0" applyNumberFormat="0" applyFill="0" applyBorder="0" applyAlignment="0" applyProtection="0"/>
    <xf numFmtId="9" fontId="7" fillId="0" borderId="0" applyFont="0" applyFill="0" applyBorder="0" applyAlignment="0" applyProtection="0"/>
  </cellStyleXfs>
  <cellXfs count="432">
    <xf numFmtId="0" fontId="0" fillId="0" borderId="0" xfId="0"/>
    <xf numFmtId="0" fontId="1" fillId="0" borderId="0" xfId="1"/>
    <xf numFmtId="0" fontId="1" fillId="0" borderId="0" xfId="1" applyBorder="1"/>
    <xf numFmtId="0" fontId="1" fillId="0" borderId="0" xfId="1" applyFill="1"/>
    <xf numFmtId="0" fontId="3" fillId="0" borderId="1" xfId="1" applyFont="1" applyBorder="1"/>
    <xf numFmtId="0" fontId="1" fillId="0" borderId="0" xfId="1" applyFill="1" applyBorder="1"/>
    <xf numFmtId="0" fontId="5" fillId="0" borderId="0" xfId="1" applyFont="1"/>
    <xf numFmtId="0" fontId="3" fillId="0" borderId="0" xfId="1" applyFont="1" applyFill="1" applyBorder="1"/>
    <xf numFmtId="3" fontId="1" fillId="0" borderId="0" xfId="1" applyNumberFormat="1" applyBorder="1"/>
    <xf numFmtId="166" fontId="6" fillId="2" borderId="1" xfId="8" applyFont="1" applyFill="1" applyBorder="1" applyAlignment="1">
      <alignment horizontal="center" vertical="center" wrapText="1"/>
    </xf>
    <xf numFmtId="0" fontId="6" fillId="2" borderId="1" xfId="8" applyNumberFormat="1" applyFont="1" applyFill="1" applyBorder="1" applyAlignment="1">
      <alignment horizontal="center" vertical="center" wrapText="1"/>
    </xf>
    <xf numFmtId="3" fontId="3" fillId="0" borderId="1" xfId="1" applyNumberFormat="1" applyFont="1" applyFill="1" applyBorder="1" applyAlignment="1">
      <alignment horizontal="right"/>
    </xf>
    <xf numFmtId="4" fontId="3" fillId="0" borderId="1" xfId="1" applyNumberFormat="1" applyFont="1" applyFill="1" applyBorder="1" applyAlignment="1">
      <alignment horizontal="right"/>
    </xf>
    <xf numFmtId="166" fontId="6" fillId="0" borderId="0" xfId="8" applyFont="1" applyFill="1" applyBorder="1" applyAlignment="1">
      <alignment horizontal="center" vertical="center" wrapText="1"/>
    </xf>
    <xf numFmtId="3" fontId="3" fillId="0" borderId="0" xfId="9" applyNumberFormat="1" applyFont="1" applyFill="1" applyBorder="1" applyAlignment="1">
      <alignment horizontal="center"/>
    </xf>
    <xf numFmtId="165" fontId="3" fillId="0" borderId="0" xfId="9" applyNumberFormat="1" applyFont="1" applyFill="1" applyBorder="1" applyAlignment="1">
      <alignment horizontal="center"/>
    </xf>
    <xf numFmtId="3" fontId="4" fillId="0" borderId="0" xfId="7" applyNumberFormat="1" applyFont="1" applyFill="1" applyBorder="1" applyAlignment="1">
      <alignment horizontal="center"/>
    </xf>
    <xf numFmtId="2" fontId="1" fillId="0" borderId="0" xfId="1" applyNumberFormat="1" applyFill="1" applyBorder="1"/>
    <xf numFmtId="1" fontId="1" fillId="0" borderId="0" xfId="1" applyNumberFormat="1"/>
    <xf numFmtId="0" fontId="6" fillId="2" borderId="11" xfId="8" applyNumberFormat="1" applyFont="1" applyFill="1" applyBorder="1" applyAlignment="1">
      <alignment horizontal="center" vertical="center" wrapText="1"/>
    </xf>
    <xf numFmtId="0" fontId="23" fillId="0" borderId="0" xfId="0" applyFont="1" applyFill="1" applyBorder="1" applyAlignment="1" applyProtection="1">
      <alignment vertical="center" wrapText="1"/>
    </xf>
    <xf numFmtId="43" fontId="1" fillId="0" borderId="1" xfId="11" applyFont="1" applyFill="1" applyBorder="1"/>
    <xf numFmtId="0" fontId="23" fillId="0" borderId="0" xfId="0" applyFont="1" applyBorder="1" applyAlignment="1" applyProtection="1">
      <alignment horizontal="justify" vertical="center" wrapText="1"/>
    </xf>
    <xf numFmtId="0" fontId="28" fillId="37" borderId="0" xfId="0" applyFont="1" applyFill="1" applyBorder="1" applyAlignment="1" applyProtection="1">
      <alignment horizontal="center" vertical="center" wrapText="1"/>
    </xf>
    <xf numFmtId="0" fontId="23" fillId="0" borderId="25" xfId="0" applyFont="1" applyBorder="1" applyAlignment="1" applyProtection="1">
      <alignment horizontal="justify" vertical="center" wrapText="1"/>
    </xf>
    <xf numFmtId="0" fontId="23" fillId="0" borderId="0" xfId="0" applyFont="1" applyFill="1" applyBorder="1" applyAlignment="1" applyProtection="1">
      <alignment horizontal="justify" vertical="center" wrapText="1"/>
    </xf>
    <xf numFmtId="0" fontId="23" fillId="0" borderId="0" xfId="0" applyFont="1" applyFill="1" applyBorder="1" applyAlignment="1" applyProtection="1">
      <alignment horizontal="center" vertical="center" wrapText="1"/>
    </xf>
    <xf numFmtId="0" fontId="23" fillId="0" borderId="26" xfId="0" applyFont="1" applyBorder="1" applyAlignment="1" applyProtection="1">
      <alignment horizontal="justify" vertical="center" wrapText="1"/>
    </xf>
    <xf numFmtId="0" fontId="0" fillId="0" borderId="0" xfId="0"/>
    <xf numFmtId="0" fontId="23" fillId="0" borderId="27" xfId="0" applyFont="1" applyBorder="1" applyAlignment="1" applyProtection="1">
      <alignment horizontal="justify" vertical="center" wrapText="1"/>
    </xf>
    <xf numFmtId="0" fontId="23" fillId="0" borderId="28" xfId="0" applyFont="1" applyBorder="1" applyAlignment="1" applyProtection="1">
      <alignment horizontal="justify" vertical="center" wrapText="1"/>
    </xf>
    <xf numFmtId="0" fontId="23" fillId="0" borderId="29" xfId="0" applyFont="1" applyBorder="1" applyAlignment="1" applyProtection="1">
      <alignment horizontal="justify" vertical="center" wrapText="1"/>
    </xf>
    <xf numFmtId="0" fontId="23" fillId="0" borderId="0" xfId="0" applyFont="1" applyAlignment="1" applyProtection="1">
      <alignment horizontal="justify" vertical="center" wrapText="1"/>
    </xf>
    <xf numFmtId="0" fontId="0" fillId="0" borderId="0" xfId="0"/>
    <xf numFmtId="0" fontId="26" fillId="0" borderId="0" xfId="0" applyFont="1" applyFill="1" applyBorder="1" applyAlignment="1">
      <alignment horizontal="center" vertical="center" wrapText="1"/>
    </xf>
    <xf numFmtId="0" fontId="0" fillId="0" borderId="0" xfId="0"/>
    <xf numFmtId="0" fontId="23" fillId="0" borderId="0" xfId="0" applyFont="1"/>
    <xf numFmtId="171" fontId="23" fillId="0" borderId="0" xfId="0" applyNumberFormat="1" applyFont="1" applyFill="1" applyBorder="1" applyAlignment="1" applyProtection="1">
      <alignment horizontal="center" vertical="center" wrapText="1"/>
    </xf>
    <xf numFmtId="171" fontId="23" fillId="36" borderId="32" xfId="0" applyNumberFormat="1" applyFont="1" applyFill="1" applyBorder="1" applyAlignment="1" applyProtection="1">
      <alignment horizontal="center" vertical="center" wrapText="1"/>
    </xf>
    <xf numFmtId="171" fontId="23" fillId="0" borderId="0" xfId="0" applyNumberFormat="1" applyFont="1" applyFill="1" applyBorder="1" applyAlignment="1" applyProtection="1">
      <alignment vertical="center" wrapText="1"/>
    </xf>
    <xf numFmtId="171" fontId="23" fillId="36" borderId="35" xfId="0" applyNumberFormat="1" applyFont="1" applyFill="1" applyBorder="1" applyAlignment="1" applyProtection="1">
      <alignment vertical="center" wrapText="1"/>
    </xf>
    <xf numFmtId="171" fontId="23" fillId="36" borderId="37" xfId="0" applyNumberFormat="1" applyFont="1" applyFill="1" applyBorder="1" applyAlignment="1" applyProtection="1">
      <alignment vertical="center" wrapText="1"/>
    </xf>
    <xf numFmtId="171" fontId="23" fillId="36" borderId="39" xfId="0" applyNumberFormat="1" applyFont="1" applyFill="1" applyBorder="1" applyAlignment="1" applyProtection="1">
      <alignment vertical="center" wrapText="1"/>
    </xf>
    <xf numFmtId="171" fontId="23" fillId="36" borderId="34" xfId="0" applyNumberFormat="1" applyFont="1" applyFill="1" applyBorder="1" applyAlignment="1" applyProtection="1">
      <alignment vertical="center" wrapText="1"/>
    </xf>
    <xf numFmtId="171" fontId="23" fillId="36" borderId="41" xfId="0" applyNumberFormat="1" applyFont="1" applyFill="1" applyBorder="1" applyAlignment="1" applyProtection="1">
      <alignment vertical="center" wrapText="1"/>
    </xf>
    <xf numFmtId="171" fontId="23" fillId="36" borderId="42" xfId="0" applyNumberFormat="1" applyFont="1" applyFill="1" applyBorder="1" applyAlignment="1" applyProtection="1">
      <alignment vertical="center" wrapText="1"/>
    </xf>
    <xf numFmtId="0" fontId="23" fillId="0" borderId="29" xfId="0" applyFont="1" applyBorder="1" applyAlignment="1" applyProtection="1">
      <alignment vertical="center" wrapText="1"/>
    </xf>
    <xf numFmtId="0" fontId="23" fillId="0" borderId="0" xfId="0" applyFont="1" applyBorder="1" applyAlignment="1" applyProtection="1">
      <alignment vertical="center" wrapText="1"/>
    </xf>
    <xf numFmtId="0" fontId="23" fillId="0" borderId="43" xfId="0" applyFont="1" applyBorder="1" applyAlignment="1" applyProtection="1">
      <alignment horizontal="justify" vertical="center" wrapText="1"/>
    </xf>
    <xf numFmtId="0" fontId="23" fillId="0" borderId="44" xfId="0" applyFont="1" applyBorder="1" applyAlignment="1" applyProtection="1">
      <alignment horizontal="justify" vertical="center" wrapText="1"/>
    </xf>
    <xf numFmtId="0" fontId="23" fillId="0" borderId="45" xfId="0" applyFont="1" applyBorder="1" applyAlignment="1" applyProtection="1">
      <alignment vertical="center" wrapText="1"/>
    </xf>
    <xf numFmtId="0" fontId="28" fillId="35" borderId="32" xfId="0" applyFont="1" applyFill="1" applyBorder="1" applyAlignment="1" applyProtection="1">
      <alignment horizontal="center" vertical="center" wrapText="1"/>
    </xf>
    <xf numFmtId="171" fontId="23" fillId="36" borderId="40" xfId="0" applyNumberFormat="1" applyFont="1" applyFill="1" applyBorder="1" applyAlignment="1" applyProtection="1">
      <alignment vertical="center" wrapText="1"/>
    </xf>
    <xf numFmtId="171" fontId="23" fillId="36" borderId="47" xfId="0" applyNumberFormat="1" applyFont="1" applyFill="1" applyBorder="1" applyAlignment="1" applyProtection="1">
      <alignment vertical="center" wrapText="1"/>
    </xf>
    <xf numFmtId="0" fontId="27" fillId="0" borderId="0" xfId="1" applyFont="1"/>
    <xf numFmtId="0" fontId="27" fillId="0" borderId="18" xfId="1" applyFont="1" applyBorder="1" applyAlignment="1"/>
    <xf numFmtId="0" fontId="29" fillId="0" borderId="0" xfId="1" applyFont="1"/>
    <xf numFmtId="0" fontId="29" fillId="0" borderId="0" xfId="1" applyFont="1" applyFill="1" applyBorder="1"/>
    <xf numFmtId="3" fontId="29" fillId="0" borderId="0" xfId="1" applyNumberFormat="1" applyFont="1" applyBorder="1"/>
    <xf numFmtId="3" fontId="29" fillId="0" borderId="0" xfId="1" applyNumberFormat="1" applyFont="1" applyFill="1" applyBorder="1"/>
    <xf numFmtId="166" fontId="31" fillId="2" borderId="1" xfId="8" applyFont="1" applyFill="1" applyBorder="1" applyAlignment="1">
      <alignment horizontal="center" vertical="center" wrapText="1"/>
    </xf>
    <xf numFmtId="0" fontId="31" fillId="2" borderId="1" xfId="8" applyNumberFormat="1" applyFont="1" applyFill="1" applyBorder="1" applyAlignment="1">
      <alignment horizontal="center" vertical="center" wrapText="1"/>
    </xf>
    <xf numFmtId="167" fontId="29" fillId="0" borderId="1" xfId="1" applyNumberFormat="1" applyFont="1" applyBorder="1"/>
    <xf numFmtId="43" fontId="29" fillId="0" borderId="1" xfId="11" applyFont="1" applyFill="1" applyBorder="1"/>
    <xf numFmtId="0" fontId="29" fillId="0" borderId="0" xfId="1" applyFont="1" applyFill="1"/>
    <xf numFmtId="0" fontId="32" fillId="0" borderId="0" xfId="15" applyFont="1" applyBorder="1"/>
    <xf numFmtId="0" fontId="32" fillId="0" borderId="0" xfId="15" applyFont="1" applyBorder="1" applyAlignment="1">
      <alignment vertical="center"/>
    </xf>
    <xf numFmtId="0" fontId="27" fillId="0" borderId="0" xfId="1" applyFont="1" applyBorder="1" applyAlignment="1">
      <alignment horizontal="center"/>
    </xf>
    <xf numFmtId="0" fontId="27" fillId="0" borderId="0" xfId="1" applyFont="1" applyBorder="1" applyAlignment="1"/>
    <xf numFmtId="0" fontId="1" fillId="0" borderId="1" xfId="1" applyFont="1" applyFill="1" applyBorder="1"/>
    <xf numFmtId="0" fontId="1" fillId="0" borderId="1" xfId="1" applyFont="1" applyBorder="1"/>
    <xf numFmtId="0" fontId="1" fillId="0" borderId="1" xfId="1" applyBorder="1" applyAlignment="1">
      <alignment horizontal="center" vertical="center" wrapText="1"/>
    </xf>
    <xf numFmtId="44" fontId="1" fillId="0" borderId="1" xfId="78" applyFont="1" applyFill="1" applyBorder="1"/>
    <xf numFmtId="3" fontId="1" fillId="0" borderId="1" xfId="1" applyNumberFormat="1" applyFont="1" applyFill="1" applyBorder="1" applyAlignment="1">
      <alignment horizontal="right"/>
    </xf>
    <xf numFmtId="4" fontId="1" fillId="0" borderId="1" xfId="1" applyNumberFormat="1" applyFont="1" applyFill="1" applyBorder="1" applyAlignment="1">
      <alignment horizontal="right"/>
    </xf>
    <xf numFmtId="0" fontId="1" fillId="0" borderId="1" xfId="1" applyFont="1" applyFill="1" applyBorder="1" applyAlignment="1">
      <alignment horizontal="center"/>
    </xf>
    <xf numFmtId="3" fontId="1" fillId="0" borderId="1" xfId="1" applyNumberFormat="1" applyFont="1" applyFill="1" applyBorder="1"/>
    <xf numFmtId="2" fontId="1" fillId="0" borderId="1" xfId="1" applyNumberFormat="1" applyFont="1" applyFill="1" applyBorder="1" applyAlignment="1">
      <alignment horizontal="right"/>
    </xf>
    <xf numFmtId="173" fontId="1" fillId="0" borderId="1" xfId="78" applyNumberFormat="1" applyFont="1" applyFill="1" applyBorder="1"/>
    <xf numFmtId="173" fontId="1" fillId="39" borderId="1" xfId="78" applyNumberFormat="1" applyFont="1" applyFill="1" applyBorder="1"/>
    <xf numFmtId="173" fontId="4" fillId="40" borderId="1" xfId="78" applyNumberFormat="1" applyFont="1" applyFill="1" applyBorder="1"/>
    <xf numFmtId="172" fontId="1" fillId="39" borderId="1" xfId="1" applyNumberFormat="1" applyFont="1" applyFill="1" applyBorder="1"/>
    <xf numFmtId="0" fontId="0" fillId="0" borderId="29" xfId="0" applyBorder="1"/>
    <xf numFmtId="0" fontId="0" fillId="0" borderId="0" xfId="0" applyBorder="1"/>
    <xf numFmtId="0" fontId="0" fillId="0" borderId="29" xfId="0" applyBorder="1" applyAlignment="1">
      <alignment vertical="top" wrapText="1"/>
    </xf>
    <xf numFmtId="0" fontId="1" fillId="0" borderId="29" xfId="1" applyBorder="1"/>
    <xf numFmtId="0" fontId="1" fillId="39" borderId="1" xfId="1" applyFont="1" applyFill="1" applyBorder="1"/>
    <xf numFmtId="44" fontId="1" fillId="39" borderId="1" xfId="78" applyFont="1" applyFill="1" applyBorder="1"/>
    <xf numFmtId="0" fontId="1" fillId="39" borderId="1" xfId="1" applyFill="1" applyBorder="1" applyAlignment="1">
      <alignment horizontal="center" vertical="center" wrapText="1"/>
    </xf>
    <xf numFmtId="44" fontId="1" fillId="39" borderId="1" xfId="78" applyFont="1" applyFill="1" applyBorder="1" applyAlignment="1">
      <alignment horizontal="center" vertical="center" wrapText="1"/>
    </xf>
    <xf numFmtId="0" fontId="1" fillId="39" borderId="1" xfId="1" applyFill="1" applyBorder="1" applyAlignment="1">
      <alignment horizontal="center" vertical="center"/>
    </xf>
    <xf numFmtId="173" fontId="4" fillId="39" borderId="1" xfId="78" applyNumberFormat="1" applyFont="1" applyFill="1" applyBorder="1" applyAlignment="1">
      <alignment horizontal="center"/>
    </xf>
    <xf numFmtId="0" fontId="27" fillId="0" borderId="0" xfId="1" applyFont="1" applyFill="1" applyBorder="1"/>
    <xf numFmtId="0" fontId="0" fillId="0" borderId="28" xfId="0" applyBorder="1"/>
    <xf numFmtId="0" fontId="0" fillId="0" borderId="44" xfId="0" applyBorder="1"/>
    <xf numFmtId="0" fontId="0" fillId="0" borderId="45" xfId="0" applyBorder="1"/>
    <xf numFmtId="43" fontId="1" fillId="39" borderId="1" xfId="11" applyFont="1" applyFill="1" applyBorder="1" applyAlignment="1">
      <alignment horizontal="center" vertical="center" wrapText="1"/>
    </xf>
    <xf numFmtId="6" fontId="0" fillId="0" borderId="0" xfId="0" applyNumberFormat="1"/>
    <xf numFmtId="2" fontId="1" fillId="39" borderId="1" xfId="1" applyNumberFormat="1" applyFill="1" applyBorder="1" applyAlignment="1">
      <alignment horizontal="right" vertical="center"/>
    </xf>
    <xf numFmtId="0" fontId="27" fillId="0" borderId="0" xfId="1" applyFont="1" applyAlignment="1"/>
    <xf numFmtId="44" fontId="1" fillId="0" borderId="0" xfId="78" applyFont="1" applyFill="1" applyBorder="1"/>
    <xf numFmtId="0" fontId="33" fillId="0" borderId="0" xfId="1" applyFont="1" applyBorder="1"/>
    <xf numFmtId="43" fontId="1" fillId="39" borderId="1" xfId="11" applyFont="1" applyFill="1" applyBorder="1"/>
    <xf numFmtId="0" fontId="34" fillId="0" borderId="0" xfId="1" applyFont="1" applyBorder="1"/>
    <xf numFmtId="44" fontId="1" fillId="0" borderId="1" xfId="78" applyFont="1" applyFill="1" applyBorder="1" applyAlignment="1">
      <alignment horizontal="right"/>
    </xf>
    <xf numFmtId="44" fontId="1" fillId="39" borderId="1" xfId="78" applyFont="1" applyFill="1" applyBorder="1" applyAlignment="1">
      <alignment horizontal="right"/>
    </xf>
    <xf numFmtId="44" fontId="1" fillId="39" borderId="1" xfId="78" applyFont="1" applyFill="1" applyBorder="1" applyAlignment="1"/>
    <xf numFmtId="44" fontId="1" fillId="0" borderId="0" xfId="78" applyFont="1" applyFill="1" applyBorder="1" applyAlignment="1">
      <alignment horizontal="right"/>
    </xf>
    <xf numFmtId="0" fontId="1" fillId="0" borderId="1" xfId="1" applyBorder="1" applyAlignment="1">
      <alignment horizontal="center" vertical="center"/>
    </xf>
    <xf numFmtId="0" fontId="27" fillId="0" borderId="0" xfId="1" applyFont="1" applyBorder="1"/>
    <xf numFmtId="166" fontId="6" fillId="2" borderId="23" xfId="8" applyFont="1" applyFill="1" applyBorder="1" applyAlignment="1">
      <alignment horizontal="center" vertical="center" wrapText="1"/>
    </xf>
    <xf numFmtId="43" fontId="1" fillId="39" borderId="1" xfId="11" applyFont="1" applyFill="1" applyBorder="1" applyAlignment="1">
      <alignment horizontal="center" vertical="center"/>
    </xf>
    <xf numFmtId="0" fontId="27" fillId="0" borderId="24" xfId="1" applyFont="1" applyBorder="1" applyAlignment="1"/>
    <xf numFmtId="175" fontId="0" fillId="0" borderId="0" xfId="0" applyNumberFormat="1"/>
    <xf numFmtId="174" fontId="1" fillId="38" borderId="1" xfId="11" applyNumberFormat="1" applyFont="1" applyFill="1" applyBorder="1" applyAlignment="1">
      <alignment horizontal="center" vertical="center" wrapText="1"/>
    </xf>
    <xf numFmtId="0" fontId="0" fillId="0" borderId="43" xfId="0" applyBorder="1"/>
    <xf numFmtId="0" fontId="28" fillId="36" borderId="14" xfId="0" applyFont="1" applyFill="1" applyBorder="1" applyAlignment="1" applyProtection="1">
      <alignment horizontal="justify" vertical="center" wrapText="1"/>
    </xf>
    <xf numFmtId="0" fontId="28" fillId="36" borderId="15" xfId="0" applyFont="1" applyFill="1" applyBorder="1" applyAlignment="1" applyProtection="1">
      <alignment horizontal="justify" vertical="center" wrapText="1"/>
    </xf>
    <xf numFmtId="0" fontId="28" fillId="36" borderId="16" xfId="0" applyFont="1" applyFill="1" applyBorder="1" applyAlignment="1" applyProtection="1">
      <alignment horizontal="justify" vertical="center" wrapText="1"/>
    </xf>
    <xf numFmtId="166" fontId="6" fillId="2" borderId="48" xfId="8" applyFont="1" applyFill="1" applyBorder="1" applyAlignment="1">
      <alignment horizontal="center" vertical="center" wrapText="1"/>
    </xf>
    <xf numFmtId="176" fontId="1" fillId="0" borderId="1" xfId="11" applyNumberFormat="1" applyFont="1" applyBorder="1"/>
    <xf numFmtId="0" fontId="0" fillId="0" borderId="0" xfId="0" applyAlignment="1">
      <alignment horizontal="center"/>
    </xf>
    <xf numFmtId="0" fontId="21" fillId="0" borderId="0" xfId="0" applyFont="1"/>
    <xf numFmtId="44" fontId="23" fillId="36" borderId="31" xfId="78" applyFont="1" applyFill="1" applyBorder="1" applyAlignment="1" applyProtection="1">
      <alignment horizontal="center" vertical="center" wrapText="1"/>
    </xf>
    <xf numFmtId="44" fontId="23" fillId="36" borderId="33" xfId="78" applyFont="1" applyFill="1" applyBorder="1" applyAlignment="1" applyProtection="1">
      <alignment horizontal="center" vertical="center" wrapText="1"/>
    </xf>
    <xf numFmtId="0" fontId="0" fillId="39" borderId="1" xfId="0" applyFill="1" applyBorder="1"/>
    <xf numFmtId="43" fontId="0" fillId="39" borderId="1" xfId="11" applyFont="1" applyFill="1" applyBorder="1"/>
    <xf numFmtId="44" fontId="0" fillId="39" borderId="1" xfId="78" applyFont="1" applyFill="1" applyBorder="1"/>
    <xf numFmtId="43" fontId="1" fillId="39" borderId="1" xfId="11" applyNumberFormat="1" applyFont="1" applyFill="1" applyBorder="1"/>
    <xf numFmtId="43" fontId="3" fillId="39" borderId="1" xfId="11" applyFont="1" applyFill="1" applyBorder="1" applyAlignment="1">
      <alignment horizontal="right"/>
    </xf>
    <xf numFmtId="0" fontId="21" fillId="0" borderId="1" xfId="0" applyFont="1" applyBorder="1"/>
    <xf numFmtId="0" fontId="21" fillId="0" borderId="1" xfId="0" applyFont="1" applyBorder="1" applyAlignment="1">
      <alignment horizontal="center"/>
    </xf>
    <xf numFmtId="0" fontId="30" fillId="0" borderId="0" xfId="1" applyFont="1" applyAlignment="1">
      <alignment horizontal="center"/>
    </xf>
    <xf numFmtId="166" fontId="6" fillId="2" borderId="1" xfId="8" applyFont="1" applyFill="1" applyBorder="1" applyAlignment="1">
      <alignment horizontal="center" vertical="center" wrapText="1"/>
    </xf>
    <xf numFmtId="4" fontId="1" fillId="0" borderId="1" xfId="1" applyNumberFormat="1" applyFill="1" applyBorder="1"/>
    <xf numFmtId="177" fontId="1" fillId="0" borderId="1" xfId="1" applyNumberFormat="1" applyFill="1" applyBorder="1"/>
    <xf numFmtId="173" fontId="3" fillId="0" borderId="1" xfId="78" applyNumberFormat="1" applyFont="1" applyFill="1" applyBorder="1" applyAlignment="1">
      <alignment horizontal="right"/>
    </xf>
    <xf numFmtId="173" fontId="4" fillId="0" borderId="1" xfId="78" applyNumberFormat="1" applyFont="1" applyFill="1" applyBorder="1" applyAlignment="1">
      <alignment horizontal="center"/>
    </xf>
    <xf numFmtId="4" fontId="1" fillId="39" borderId="1" xfId="11" applyNumberFormat="1" applyFont="1" applyFill="1" applyBorder="1"/>
    <xf numFmtId="43" fontId="1" fillId="39" borderId="1" xfId="1" applyNumberFormat="1" applyFill="1" applyBorder="1"/>
    <xf numFmtId="0" fontId="3" fillId="39" borderId="1" xfId="1" applyFont="1" applyFill="1" applyBorder="1"/>
    <xf numFmtId="0" fontId="38" fillId="39" borderId="11" xfId="0" applyFont="1" applyFill="1" applyBorder="1"/>
    <xf numFmtId="0" fontId="1" fillId="39" borderId="1" xfId="0" applyFont="1" applyFill="1" applyBorder="1" applyAlignment="1">
      <alignment horizontal="center" vertical="center" wrapText="1"/>
    </xf>
    <xf numFmtId="0" fontId="1" fillId="39" borderId="12" xfId="0" applyFont="1" applyFill="1" applyBorder="1" applyAlignment="1">
      <alignment horizontal="center" vertical="center" wrapText="1"/>
    </xf>
    <xf numFmtId="43" fontId="29" fillId="39" borderId="1" xfId="11" applyFont="1" applyFill="1" applyBorder="1"/>
    <xf numFmtId="43" fontId="29" fillId="39" borderId="1" xfId="11" applyFont="1" applyFill="1" applyBorder="1" applyAlignment="1">
      <alignment horizontal="right"/>
    </xf>
    <xf numFmtId="0" fontId="29" fillId="39" borderId="1" xfId="1" applyFont="1" applyFill="1" applyBorder="1"/>
    <xf numFmtId="173" fontId="29" fillId="0" borderId="1" xfId="78" applyNumberFormat="1" applyFont="1" applyFill="1" applyBorder="1"/>
    <xf numFmtId="173" fontId="29" fillId="39" borderId="1" xfId="78" applyNumberFormat="1" applyFont="1" applyFill="1" applyBorder="1"/>
    <xf numFmtId="43" fontId="0" fillId="0" borderId="1" xfId="11" applyFont="1" applyBorder="1"/>
    <xf numFmtId="173" fontId="0" fillId="0" borderId="1" xfId="78" applyNumberFormat="1" applyFont="1" applyBorder="1"/>
    <xf numFmtId="0" fontId="22" fillId="2" borderId="1" xfId="0" applyFont="1" applyFill="1" applyBorder="1" applyAlignment="1">
      <alignment horizontal="right" vertical="center"/>
    </xf>
    <xf numFmtId="2" fontId="22" fillId="2" borderId="1" xfId="0" applyNumberFormat="1" applyFont="1" applyFill="1" applyBorder="1" applyAlignment="1">
      <alignment horizontal="center" vertical="center"/>
    </xf>
    <xf numFmtId="43" fontId="1" fillId="0" borderId="1" xfId="11" applyNumberFormat="1" applyFont="1" applyFill="1" applyBorder="1"/>
    <xf numFmtId="2" fontId="0" fillId="0" borderId="0" xfId="0" applyNumberFormat="1" applyAlignment="1">
      <alignment horizontal="center"/>
    </xf>
    <xf numFmtId="0" fontId="1" fillId="0" borderId="1" xfId="11" applyNumberFormat="1" applyFont="1" applyFill="1" applyBorder="1" applyAlignment="1">
      <alignment horizontal="center"/>
    </xf>
    <xf numFmtId="174" fontId="1" fillId="39" borderId="1" xfId="11" applyNumberFormat="1" applyFont="1" applyFill="1" applyBorder="1"/>
    <xf numFmtId="43" fontId="39" fillId="2" borderId="1" xfId="1" applyNumberFormat="1" applyFont="1" applyFill="1" applyBorder="1"/>
    <xf numFmtId="43" fontId="39" fillId="2" borderId="1" xfId="11" applyFont="1" applyFill="1" applyBorder="1"/>
    <xf numFmtId="174" fontId="39" fillId="2" borderId="1" xfId="1" applyNumberFormat="1" applyFont="1" applyFill="1" applyBorder="1"/>
    <xf numFmtId="2" fontId="0" fillId="39" borderId="1" xfId="0" applyNumberFormat="1" applyFill="1" applyBorder="1"/>
    <xf numFmtId="43" fontId="0" fillId="39" borderId="1" xfId="0" applyNumberFormat="1" applyFill="1" applyBorder="1"/>
    <xf numFmtId="44" fontId="39" fillId="2" borderId="1" xfId="78" applyFont="1" applyFill="1" applyBorder="1"/>
    <xf numFmtId="0" fontId="23" fillId="0" borderId="0" xfId="0" applyFont="1" applyAlignment="1" applyProtection="1">
      <alignment horizontal="justify" vertical="center"/>
    </xf>
    <xf numFmtId="178" fontId="22" fillId="2" borderId="1" xfId="80" applyNumberFormat="1" applyFont="1" applyFill="1" applyBorder="1"/>
    <xf numFmtId="0" fontId="23" fillId="0" borderId="0" xfId="0" applyFont="1" applyAlignment="1" applyProtection="1">
      <alignment vertical="center" wrapText="1"/>
    </xf>
    <xf numFmtId="0" fontId="0" fillId="0" borderId="0" xfId="0"/>
    <xf numFmtId="0" fontId="37" fillId="0" borderId="0" xfId="1" applyFont="1" applyFill="1" applyBorder="1" applyAlignment="1">
      <alignment horizontal="center" vertical="center"/>
    </xf>
    <xf numFmtId="166" fontId="6" fillId="2" borderId="1" xfId="8" applyFont="1" applyFill="1" applyBorder="1" applyAlignment="1">
      <alignment horizontal="center" vertical="center" wrapText="1"/>
    </xf>
    <xf numFmtId="166" fontId="6" fillId="2" borderId="1" xfId="8" applyFont="1" applyFill="1" applyBorder="1" applyAlignment="1">
      <alignment horizontal="center" vertical="center" wrapText="1"/>
    </xf>
    <xf numFmtId="0" fontId="21" fillId="0" borderId="0" xfId="0" applyFont="1" applyAlignment="1">
      <alignment horizontal="center"/>
    </xf>
    <xf numFmtId="0" fontId="21" fillId="0" borderId="48" xfId="0" applyFont="1" applyBorder="1"/>
    <xf numFmtId="0" fontId="0" fillId="0" borderId="48" xfId="0" applyBorder="1"/>
    <xf numFmtId="0" fontId="21" fillId="0" borderId="23" xfId="0" applyFont="1" applyBorder="1"/>
    <xf numFmtId="0" fontId="0" fillId="0" borderId="23" xfId="0" applyBorder="1"/>
    <xf numFmtId="0" fontId="0" fillId="0" borderId="23" xfId="0" applyFont="1" applyBorder="1"/>
    <xf numFmtId="176" fontId="1" fillId="0" borderId="0" xfId="11" applyNumberFormat="1" applyFont="1" applyBorder="1"/>
    <xf numFmtId="0" fontId="1" fillId="0" borderId="0" xfId="1" applyFont="1" applyBorder="1"/>
    <xf numFmtId="0" fontId="27" fillId="0" borderId="0" xfId="1" applyFont="1" applyAlignment="1">
      <alignment horizontal="center" vertical="center"/>
    </xf>
    <xf numFmtId="0" fontId="4" fillId="0" borderId="0" xfId="1" applyFont="1"/>
    <xf numFmtId="43" fontId="29" fillId="41" borderId="1" xfId="11" applyFont="1" applyFill="1" applyBorder="1" applyAlignment="1">
      <alignment horizontal="right"/>
    </xf>
    <xf numFmtId="0" fontId="29" fillId="41" borderId="1" xfId="0" applyFont="1" applyFill="1" applyBorder="1" applyAlignment="1">
      <alignment horizontal="center" vertical="center" wrapText="1"/>
    </xf>
    <xf numFmtId="0" fontId="23" fillId="41" borderId="11" xfId="0" applyFont="1" applyFill="1" applyBorder="1"/>
    <xf numFmtId="0" fontId="29" fillId="41" borderId="12" xfId="0" applyFont="1" applyFill="1" applyBorder="1" applyAlignment="1">
      <alignment horizontal="center" vertical="center" wrapText="1"/>
    </xf>
    <xf numFmtId="0" fontId="1" fillId="41" borderId="1" xfId="1" applyFill="1" applyBorder="1" applyAlignment="1">
      <alignment horizontal="center"/>
    </xf>
    <xf numFmtId="0" fontId="4" fillId="41" borderId="1" xfId="1" applyFont="1" applyFill="1" applyBorder="1" applyAlignment="1">
      <alignment horizontal="right"/>
    </xf>
    <xf numFmtId="44" fontId="4" fillId="41" borderId="1" xfId="1" applyNumberFormat="1" applyFont="1" applyFill="1" applyBorder="1"/>
    <xf numFmtId="0" fontId="1" fillId="41" borderId="1" xfId="1" applyFill="1" applyBorder="1"/>
    <xf numFmtId="0" fontId="27" fillId="0" borderId="0" xfId="1" applyFont="1" applyAlignment="1">
      <alignment horizontal="center" vertical="center"/>
    </xf>
    <xf numFmtId="176" fontId="0" fillId="0" borderId="0" xfId="0" applyNumberFormat="1"/>
    <xf numFmtId="166" fontId="6" fillId="2" borderId="1" xfId="8" applyFont="1" applyFill="1" applyBorder="1" applyAlignment="1">
      <alignment horizontal="center" vertical="center" wrapText="1"/>
    </xf>
    <xf numFmtId="0" fontId="27" fillId="0" borderId="0" xfId="1" applyFont="1" applyAlignment="1">
      <alignment horizontal="center" vertical="center"/>
    </xf>
    <xf numFmtId="0" fontId="18" fillId="2" borderId="1" xfId="0" applyFont="1" applyFill="1" applyBorder="1" applyAlignment="1">
      <alignment horizontal="center"/>
    </xf>
    <xf numFmtId="9" fontId="22" fillId="0" borderId="0" xfId="0" applyNumberFormat="1" applyFont="1"/>
    <xf numFmtId="166" fontId="6" fillId="2" borderId="1" xfId="8" applyFont="1" applyFill="1" applyBorder="1" applyAlignment="1">
      <alignment horizontal="center" vertical="center" wrapText="1"/>
    </xf>
    <xf numFmtId="166" fontId="6" fillId="2" borderId="50" xfId="8" applyFont="1" applyFill="1" applyBorder="1" applyAlignment="1">
      <alignment horizontal="center" vertical="center" wrapText="1"/>
    </xf>
    <xf numFmtId="178" fontId="1" fillId="36" borderId="1" xfId="80" applyNumberFormat="1" applyFont="1" applyFill="1" applyBorder="1"/>
    <xf numFmtId="0" fontId="1" fillId="36" borderId="1" xfId="1" applyFont="1" applyFill="1" applyBorder="1"/>
    <xf numFmtId="173" fontId="1" fillId="36" borderId="1" xfId="78" applyNumberFormat="1" applyFont="1" applyFill="1" applyBorder="1"/>
    <xf numFmtId="176" fontId="1" fillId="36" borderId="1" xfId="11" applyNumberFormat="1" applyFont="1" applyFill="1" applyBorder="1"/>
    <xf numFmtId="0" fontId="0" fillId="36" borderId="1" xfId="0" applyFill="1" applyBorder="1"/>
    <xf numFmtId="9" fontId="0" fillId="0" borderId="1" xfId="80" applyFont="1" applyBorder="1" applyAlignment="1">
      <alignment horizontal="center"/>
    </xf>
    <xf numFmtId="9" fontId="0" fillId="0" borderId="1" xfId="0" applyNumberFormat="1" applyBorder="1" applyAlignment="1">
      <alignment horizontal="center"/>
    </xf>
    <xf numFmtId="173" fontId="1" fillId="36" borderId="1" xfId="1" applyNumberFormat="1" applyFont="1" applyFill="1" applyBorder="1"/>
    <xf numFmtId="178" fontId="0" fillId="36" borderId="1" xfId="80" applyNumberFormat="1" applyFont="1" applyFill="1" applyBorder="1"/>
    <xf numFmtId="166" fontId="6" fillId="2" borderId="51" xfId="8" applyFont="1" applyFill="1" applyBorder="1" applyAlignment="1">
      <alignment horizontal="center" vertical="center" wrapText="1"/>
    </xf>
    <xf numFmtId="44" fontId="1" fillId="36" borderId="1" xfId="1" applyNumberFormat="1" applyFont="1" applyFill="1" applyBorder="1"/>
    <xf numFmtId="0" fontId="42" fillId="2" borderId="1" xfId="1" applyFont="1" applyFill="1" applyBorder="1" applyAlignment="1">
      <alignment horizontal="right" vertical="center"/>
    </xf>
    <xf numFmtId="174" fontId="42" fillId="2" borderId="1" xfId="11" applyNumberFormat="1" applyFont="1" applyFill="1" applyBorder="1" applyAlignment="1">
      <alignment horizontal="right" vertical="center"/>
    </xf>
    <xf numFmtId="173" fontId="42" fillId="2" borderId="1" xfId="78" applyNumberFormat="1" applyFont="1" applyFill="1" applyBorder="1" applyAlignment="1">
      <alignment horizontal="right" vertical="center"/>
    </xf>
    <xf numFmtId="0" fontId="22" fillId="0" borderId="0" xfId="0" applyFont="1"/>
    <xf numFmtId="174" fontId="1" fillId="36" borderId="1" xfId="11" applyNumberFormat="1" applyFont="1" applyFill="1" applyBorder="1"/>
    <xf numFmtId="176" fontId="0" fillId="36" borderId="1" xfId="11" applyNumberFormat="1" applyFont="1" applyFill="1" applyBorder="1"/>
    <xf numFmtId="166" fontId="6" fillId="2" borderId="1" xfId="8" applyFont="1" applyFill="1" applyBorder="1" applyAlignment="1">
      <alignment horizontal="center" vertical="center" wrapText="1"/>
    </xf>
    <xf numFmtId="0" fontId="18" fillId="42" borderId="1" xfId="0" applyFont="1" applyFill="1" applyBorder="1"/>
    <xf numFmtId="0" fontId="22" fillId="42" borderId="1" xfId="0" applyFont="1" applyFill="1" applyBorder="1"/>
    <xf numFmtId="0" fontId="18" fillId="42" borderId="1" xfId="0" applyFont="1" applyFill="1" applyBorder="1" applyAlignment="1">
      <alignment horizontal="center"/>
    </xf>
    <xf numFmtId="0" fontId="0" fillId="36" borderId="1" xfId="0" applyFill="1" applyBorder="1" applyAlignment="1">
      <alignment horizontal="center"/>
    </xf>
    <xf numFmtId="0" fontId="21" fillId="36" borderId="1" xfId="0" applyFont="1" applyFill="1" applyBorder="1" applyAlignment="1">
      <alignment horizontal="center"/>
    </xf>
    <xf numFmtId="0" fontId="23" fillId="0" borderId="32" xfId="0" applyFont="1" applyBorder="1" applyAlignment="1" applyProtection="1">
      <alignment horizontal="center" vertical="center" wrapText="1"/>
    </xf>
    <xf numFmtId="0" fontId="28" fillId="0" borderId="0" xfId="0" applyFont="1" applyBorder="1" applyAlignment="1" applyProtection="1">
      <alignment horizontal="right" vertical="center" wrapText="1"/>
    </xf>
    <xf numFmtId="0" fontId="28" fillId="36" borderId="46" xfId="0" applyFont="1" applyFill="1" applyBorder="1" applyAlignment="1" applyProtection="1">
      <alignment horizontal="center" vertical="center" wrapText="1"/>
    </xf>
    <xf numFmtId="0" fontId="28" fillId="36" borderId="36" xfId="0" applyFont="1" applyFill="1" applyBorder="1" applyAlignment="1" applyProtection="1">
      <alignment horizontal="center" vertical="center" wrapText="1"/>
    </xf>
    <xf numFmtId="0" fontId="28" fillId="36" borderId="2" xfId="0" applyFont="1" applyFill="1" applyBorder="1" applyAlignment="1" applyProtection="1">
      <alignment horizontal="center" vertical="center" wrapText="1"/>
    </xf>
    <xf numFmtId="0" fontId="21" fillId="0" borderId="0" xfId="0" applyFont="1" applyBorder="1"/>
    <xf numFmtId="0" fontId="0" fillId="0" borderId="0" xfId="0" applyFill="1" applyBorder="1"/>
    <xf numFmtId="0" fontId="21" fillId="0" borderId="50" xfId="0" applyFont="1" applyFill="1" applyBorder="1" applyAlignment="1">
      <alignment horizontal="center"/>
    </xf>
    <xf numFmtId="0" fontId="0" fillId="0" borderId="50" xfId="0" applyBorder="1"/>
    <xf numFmtId="0" fontId="44" fillId="0" borderId="50" xfId="0" applyFont="1" applyBorder="1"/>
    <xf numFmtId="0" fontId="28" fillId="36" borderId="32" xfId="0" applyFont="1" applyFill="1" applyBorder="1" applyAlignment="1" applyProtection="1">
      <alignment horizontal="center" vertical="center" wrapText="1"/>
    </xf>
    <xf numFmtId="0" fontId="21" fillId="0" borderId="0" xfId="0" applyFont="1" applyFill="1" applyBorder="1"/>
    <xf numFmtId="0" fontId="23" fillId="0" borderId="0" xfId="0" applyFont="1" applyBorder="1" applyAlignment="1" applyProtection="1">
      <alignment vertical="center" wrapText="1"/>
      <protection locked="0"/>
    </xf>
    <xf numFmtId="0" fontId="23" fillId="0" borderId="0" xfId="0" applyFont="1" applyBorder="1" applyAlignment="1" applyProtection="1">
      <alignment horizontal="center" vertical="center" wrapText="1"/>
      <protection locked="0"/>
    </xf>
    <xf numFmtId="0" fontId="0" fillId="0" borderId="0" xfId="0" applyAlignment="1">
      <alignment horizontal="center" vertical="center"/>
    </xf>
    <xf numFmtId="0" fontId="0" fillId="0" borderId="0" xfId="0" applyAlignment="1">
      <alignment vertical="center"/>
    </xf>
    <xf numFmtId="0" fontId="0" fillId="0" borderId="0" xfId="0" applyAlignment="1">
      <alignment horizontal="left" vertical="center"/>
    </xf>
    <xf numFmtId="0" fontId="0" fillId="0" borderId="0" xfId="0" applyFont="1" applyAlignment="1">
      <alignment horizontal="center" vertical="center"/>
    </xf>
    <xf numFmtId="0" fontId="0" fillId="0" borderId="0" xfId="0" applyFont="1" applyAlignment="1">
      <alignment horizontal="left" vertical="center"/>
    </xf>
    <xf numFmtId="1" fontId="0" fillId="0" borderId="0" xfId="0" applyNumberFormat="1" applyFont="1" applyAlignment="1">
      <alignment horizontal="center" vertical="center"/>
    </xf>
    <xf numFmtId="0" fontId="19" fillId="0" borderId="0" xfId="0" applyFont="1" applyFill="1"/>
    <xf numFmtId="0" fontId="45" fillId="42" borderId="52" xfId="21" applyFont="1" applyFill="1" applyBorder="1" applyAlignment="1">
      <alignment horizontal="center" vertical="center"/>
    </xf>
    <xf numFmtId="0" fontId="45" fillId="42" borderId="1" xfId="21" applyFont="1" applyFill="1" applyBorder="1" applyAlignment="1">
      <alignment horizontal="center" vertical="center"/>
    </xf>
    <xf numFmtId="0" fontId="45" fillId="42" borderId="1" xfId="21" applyFont="1" applyFill="1" applyBorder="1" applyAlignment="1">
      <alignment horizontal="left" vertical="center"/>
    </xf>
    <xf numFmtId="9" fontId="43" fillId="36" borderId="54" xfId="34" applyNumberFormat="1" applyFont="1" applyFill="1" applyBorder="1" applyAlignment="1">
      <alignment horizontal="left" vertical="center" wrapText="1"/>
    </xf>
    <xf numFmtId="0" fontId="7" fillId="36" borderId="1" xfId="33" applyFont="1" applyFill="1" applyBorder="1" applyAlignment="1">
      <alignment horizontal="center" vertical="center" wrapText="1"/>
    </xf>
    <xf numFmtId="0" fontId="7" fillId="36" borderId="1" xfId="33" applyFont="1" applyFill="1" applyBorder="1" applyAlignment="1">
      <alignment vertical="center" wrapText="1"/>
    </xf>
    <xf numFmtId="9" fontId="7" fillId="36" borderId="1" xfId="33" applyNumberFormat="1" applyFont="1" applyFill="1" applyBorder="1" applyAlignment="1">
      <alignment horizontal="left" vertical="center" wrapText="1"/>
    </xf>
    <xf numFmtId="0" fontId="7" fillId="36" borderId="1" xfId="34" applyFont="1" applyFill="1" applyBorder="1" applyAlignment="1">
      <alignment horizontal="center" vertical="center" wrapText="1"/>
    </xf>
    <xf numFmtId="0" fontId="7" fillId="36" borderId="1" xfId="34" applyFont="1" applyFill="1" applyBorder="1" applyAlignment="1">
      <alignment vertical="center" wrapText="1"/>
    </xf>
    <xf numFmtId="9" fontId="7" fillId="36" borderId="1" xfId="34" applyNumberFormat="1" applyFont="1" applyFill="1" applyBorder="1" applyAlignment="1">
      <alignment horizontal="left" vertical="center" wrapText="1"/>
    </xf>
    <xf numFmtId="9" fontId="7" fillId="36" borderId="54" xfId="34" applyNumberFormat="1" applyFont="1" applyFill="1" applyBorder="1" applyAlignment="1">
      <alignment horizontal="left" vertical="center" wrapText="1"/>
    </xf>
    <xf numFmtId="0" fontId="7" fillId="36" borderId="48" xfId="33" applyFont="1" applyFill="1" applyBorder="1" applyAlignment="1">
      <alignment horizontal="center" vertical="center" wrapText="1"/>
    </xf>
    <xf numFmtId="9" fontId="7" fillId="36" borderId="54" xfId="33" applyNumberFormat="1" applyFont="1" applyFill="1" applyBorder="1" applyAlignment="1">
      <alignment horizontal="left" vertical="center" wrapText="1"/>
    </xf>
    <xf numFmtId="0" fontId="7" fillId="36" borderId="48" xfId="34" applyFont="1" applyFill="1" applyBorder="1" applyAlignment="1">
      <alignment horizontal="center" vertical="center" wrapText="1"/>
    </xf>
    <xf numFmtId="0" fontId="7" fillId="36" borderId="1" xfId="29" applyFont="1" applyFill="1" applyBorder="1" applyAlignment="1">
      <alignment horizontal="center" vertical="center" wrapText="1"/>
    </xf>
    <xf numFmtId="0" fontId="7" fillId="36" borderId="1" xfId="29" applyFont="1" applyFill="1" applyBorder="1" applyAlignment="1">
      <alignment vertical="center" wrapText="1"/>
    </xf>
    <xf numFmtId="9" fontId="7" fillId="36" borderId="1" xfId="29" applyNumberFormat="1" applyFont="1" applyFill="1" applyBorder="1" applyAlignment="1">
      <alignment horizontal="left" vertical="center" wrapText="1"/>
    </xf>
    <xf numFmtId="0" fontId="7" fillId="36" borderId="1" xfId="30" applyFont="1" applyFill="1" applyBorder="1" applyAlignment="1">
      <alignment horizontal="center" vertical="center" wrapText="1"/>
    </xf>
    <xf numFmtId="0" fontId="7" fillId="36" borderId="1" xfId="30" applyFont="1" applyFill="1" applyBorder="1" applyAlignment="1">
      <alignment vertical="center" wrapText="1"/>
    </xf>
    <xf numFmtId="9" fontId="7" fillId="36" borderId="1" xfId="30" applyNumberFormat="1" applyFont="1" applyFill="1" applyBorder="1" applyAlignment="1">
      <alignment horizontal="left" vertical="center" wrapText="1"/>
    </xf>
    <xf numFmtId="0" fontId="0" fillId="36" borderId="1" xfId="0" applyFont="1" applyFill="1" applyBorder="1" applyAlignment="1">
      <alignment vertical="center" wrapText="1"/>
    </xf>
    <xf numFmtId="9" fontId="7" fillId="36" borderId="1" xfId="80" applyFont="1" applyFill="1" applyBorder="1" applyAlignment="1">
      <alignment horizontal="left" vertical="center" wrapText="1"/>
    </xf>
    <xf numFmtId="9" fontId="0" fillId="38" borderId="1" xfId="33" applyNumberFormat="1" applyFont="1" applyFill="1" applyBorder="1" applyAlignment="1">
      <alignment horizontal="center" vertical="center" wrapText="1"/>
    </xf>
    <xf numFmtId="1" fontId="0" fillId="38" borderId="1" xfId="33" applyNumberFormat="1" applyFont="1" applyFill="1" applyBorder="1" applyAlignment="1">
      <alignment horizontal="center" vertical="center" wrapText="1"/>
    </xf>
    <xf numFmtId="9" fontId="0" fillId="38" borderId="1" xfId="34" applyNumberFormat="1" applyFont="1" applyFill="1" applyBorder="1" applyAlignment="1">
      <alignment horizontal="center" vertical="center" wrapText="1"/>
    </xf>
    <xf numFmtId="1" fontId="0" fillId="38" borderId="1" xfId="34" applyNumberFormat="1" applyFont="1" applyFill="1" applyBorder="1" applyAlignment="1">
      <alignment horizontal="center" vertical="center" wrapText="1"/>
    </xf>
    <xf numFmtId="9" fontId="0" fillId="38" borderId="54" xfId="34" applyNumberFormat="1" applyFont="1" applyFill="1" applyBorder="1" applyAlignment="1">
      <alignment horizontal="center" vertical="center" wrapText="1"/>
    </xf>
    <xf numFmtId="1" fontId="0" fillId="38" borderId="54" xfId="34" applyNumberFormat="1" applyFont="1" applyFill="1" applyBorder="1" applyAlignment="1">
      <alignment horizontal="center" vertical="center" wrapText="1"/>
    </xf>
    <xf numFmtId="9" fontId="43" fillId="38" borderId="54" xfId="34" applyNumberFormat="1" applyFont="1" applyFill="1" applyBorder="1" applyAlignment="1">
      <alignment horizontal="center" vertical="center" wrapText="1"/>
    </xf>
    <xf numFmtId="1" fontId="43" fillId="38" borderId="54" xfId="34" applyNumberFormat="1" applyFont="1" applyFill="1" applyBorder="1" applyAlignment="1">
      <alignment horizontal="center" vertical="center" wrapText="1"/>
    </xf>
    <xf numFmtId="9" fontId="0" fillId="38" borderId="54" xfId="33" applyNumberFormat="1" applyFont="1" applyFill="1" applyBorder="1" applyAlignment="1">
      <alignment horizontal="center" vertical="center" wrapText="1"/>
    </xf>
    <xf numFmtId="1" fontId="0" fillId="38" borderId="54" xfId="33" applyNumberFormat="1" applyFont="1" applyFill="1" applyBorder="1" applyAlignment="1">
      <alignment horizontal="center" vertical="center" wrapText="1"/>
    </xf>
    <xf numFmtId="9" fontId="7" fillId="38" borderId="1" xfId="33" applyNumberFormat="1" applyFont="1" applyFill="1" applyBorder="1" applyAlignment="1">
      <alignment horizontal="center" vertical="center" wrapText="1"/>
    </xf>
    <xf numFmtId="9" fontId="7" fillId="38" borderId="1" xfId="33" applyNumberFormat="1" applyFill="1" applyBorder="1" applyAlignment="1">
      <alignment horizontal="center" vertical="center" wrapText="1"/>
    </xf>
    <xf numFmtId="1" fontId="7" fillId="38" borderId="1" xfId="33" applyNumberFormat="1" applyFill="1" applyBorder="1" applyAlignment="1">
      <alignment horizontal="center" vertical="center" wrapText="1"/>
    </xf>
    <xf numFmtId="9" fontId="0" fillId="38" borderId="1" xfId="29" applyNumberFormat="1" applyFont="1" applyFill="1" applyBorder="1" applyAlignment="1">
      <alignment horizontal="center" vertical="center" wrapText="1"/>
    </xf>
    <xf numFmtId="1" fontId="0" fillId="38" borderId="1" xfId="29" applyNumberFormat="1" applyFont="1" applyFill="1" applyBorder="1" applyAlignment="1">
      <alignment horizontal="center" vertical="center" wrapText="1"/>
    </xf>
    <xf numFmtId="9" fontId="0" fillId="38" borderId="1" xfId="30" applyNumberFormat="1" applyFont="1" applyFill="1" applyBorder="1" applyAlignment="1">
      <alignment horizontal="center" vertical="center" wrapText="1"/>
    </xf>
    <xf numFmtId="1" fontId="0" fillId="38" borderId="1" xfId="30" applyNumberFormat="1" applyFont="1" applyFill="1" applyBorder="1" applyAlignment="1">
      <alignment horizontal="center" vertical="center" wrapText="1"/>
    </xf>
    <xf numFmtId="9" fontId="21" fillId="38" borderId="1" xfId="80" applyFont="1" applyFill="1" applyBorder="1" applyAlignment="1">
      <alignment horizontal="center" vertical="center" wrapText="1"/>
    </xf>
    <xf numFmtId="1" fontId="21" fillId="38" borderId="1" xfId="80" applyNumberFormat="1" applyFont="1" applyFill="1" applyBorder="1" applyAlignment="1">
      <alignment horizontal="center" vertical="center" wrapText="1"/>
    </xf>
    <xf numFmtId="0" fontId="45" fillId="42" borderId="1" xfId="21" applyFont="1" applyFill="1" applyBorder="1" applyAlignment="1">
      <alignment horizontal="center" vertical="center" wrapText="1"/>
    </xf>
    <xf numFmtId="1" fontId="45" fillId="42" borderId="1" xfId="21" applyNumberFormat="1" applyFont="1" applyFill="1" applyBorder="1" applyAlignment="1">
      <alignment horizontal="center" vertical="center"/>
    </xf>
    <xf numFmtId="0" fontId="0" fillId="39" borderId="11" xfId="0" applyFill="1" applyBorder="1" applyAlignment="1"/>
    <xf numFmtId="166" fontId="6" fillId="2" borderId="54" xfId="8" applyFont="1" applyFill="1" applyBorder="1" applyAlignment="1">
      <alignment horizontal="center" vertical="center" wrapText="1"/>
    </xf>
    <xf numFmtId="4" fontId="3" fillId="39" borderId="1" xfId="1" applyNumberFormat="1" applyFont="1" applyFill="1" applyBorder="1" applyAlignment="1">
      <alignment horizontal="right"/>
    </xf>
    <xf numFmtId="43" fontId="0" fillId="0" borderId="0" xfId="0" applyNumberFormat="1"/>
    <xf numFmtId="173" fontId="0" fillId="0" borderId="0" xfId="0" applyNumberFormat="1"/>
    <xf numFmtId="0" fontId="0" fillId="36" borderId="1" xfId="33" applyFont="1" applyFill="1" applyBorder="1" applyAlignment="1">
      <alignment vertical="center" wrapText="1"/>
    </xf>
    <xf numFmtId="0" fontId="0" fillId="38" borderId="1" xfId="33" applyFont="1" applyFill="1" applyBorder="1" applyAlignment="1">
      <alignment vertical="center" wrapText="1"/>
    </xf>
    <xf numFmtId="0" fontId="0" fillId="38" borderId="1" xfId="34" applyFont="1" applyFill="1" applyBorder="1" applyAlignment="1">
      <alignment vertical="center" wrapText="1"/>
    </xf>
    <xf numFmtId="0" fontId="0" fillId="38" borderId="54" xfId="34" applyFont="1" applyFill="1" applyBorder="1" applyAlignment="1">
      <alignment vertical="center" wrapText="1"/>
    </xf>
    <xf numFmtId="0" fontId="0" fillId="38" borderId="54" xfId="33" applyFont="1" applyFill="1" applyBorder="1" applyAlignment="1">
      <alignment vertical="center" wrapText="1"/>
    </xf>
    <xf numFmtId="0" fontId="0" fillId="38" borderId="1" xfId="29" applyFont="1" applyFill="1" applyBorder="1" applyAlignment="1">
      <alignment vertical="center" wrapText="1"/>
    </xf>
    <xf numFmtId="0" fontId="0" fillId="38" borderId="1" xfId="30" applyFont="1" applyFill="1" applyBorder="1" applyAlignment="1">
      <alignment vertical="center" wrapText="1"/>
    </xf>
    <xf numFmtId="0" fontId="0" fillId="38" borderId="1" xfId="0" applyFont="1" applyFill="1" applyBorder="1" applyAlignment="1">
      <alignment vertical="center" wrapText="1"/>
    </xf>
    <xf numFmtId="43" fontId="0" fillId="36" borderId="1" xfId="0" applyNumberFormat="1" applyFill="1" applyBorder="1"/>
    <xf numFmtId="0" fontId="18" fillId="2" borderId="1" xfId="0" applyFont="1" applyFill="1" applyBorder="1" applyAlignment="1">
      <alignment vertical="center"/>
    </xf>
    <xf numFmtId="0" fontId="18" fillId="42" borderId="1" xfId="0" applyFont="1" applyFill="1" applyBorder="1" applyAlignment="1" applyProtection="1">
      <alignment horizontal="center" vertical="center" wrapText="1"/>
    </xf>
    <xf numFmtId="0" fontId="0" fillId="36" borderId="1" xfId="0" applyFont="1" applyFill="1" applyBorder="1" applyAlignment="1" applyProtection="1">
      <alignment horizontal="center" vertical="center" wrapText="1"/>
    </xf>
    <xf numFmtId="178" fontId="0" fillId="36" borderId="1" xfId="80" applyNumberFormat="1" applyFont="1" applyFill="1" applyBorder="1" applyAlignment="1" applyProtection="1">
      <alignment horizontal="center" vertical="center" wrapText="1"/>
    </xf>
    <xf numFmtId="178" fontId="0" fillId="36" borderId="1" xfId="80" applyNumberFormat="1" applyFont="1" applyFill="1" applyBorder="1" applyAlignment="1" applyProtection="1">
      <alignment horizontal="center" vertical="center"/>
    </xf>
    <xf numFmtId="0" fontId="18" fillId="42" borderId="1" xfId="0" applyFont="1" applyFill="1" applyBorder="1" applyAlignment="1" applyProtection="1">
      <alignment vertical="center" wrapText="1"/>
    </xf>
    <xf numFmtId="3" fontId="0" fillId="36" borderId="1" xfId="0" applyNumberFormat="1" applyFill="1" applyBorder="1"/>
    <xf numFmtId="43" fontId="0" fillId="36" borderId="56" xfId="0" applyNumberFormat="1" applyFill="1" applyBorder="1" applyAlignment="1"/>
    <xf numFmtId="43" fontId="0" fillId="36" borderId="33" xfId="0" applyNumberFormat="1" applyFill="1" applyBorder="1" applyAlignment="1"/>
    <xf numFmtId="43" fontId="0" fillId="36" borderId="38" xfId="0" applyNumberFormat="1" applyFill="1" applyBorder="1" applyAlignment="1"/>
    <xf numFmtId="43" fontId="0" fillId="36" borderId="32" xfId="0" applyNumberFormat="1" applyFill="1" applyBorder="1" applyAlignment="1"/>
    <xf numFmtId="0" fontId="18" fillId="2" borderId="32" xfId="0" applyFont="1" applyFill="1" applyBorder="1" applyAlignment="1">
      <alignment vertical="center"/>
    </xf>
    <xf numFmtId="0" fontId="0" fillId="0" borderId="1" xfId="0" applyBorder="1" applyAlignment="1">
      <alignment vertical="center"/>
    </xf>
    <xf numFmtId="0" fontId="0" fillId="0" borderId="1" xfId="0" applyFont="1" applyBorder="1" applyAlignment="1">
      <alignment horizontal="left" vertical="center"/>
    </xf>
    <xf numFmtId="0" fontId="0" fillId="0" borderId="1" xfId="0" applyFont="1" applyBorder="1" applyAlignment="1">
      <alignment horizontal="center" vertical="center"/>
    </xf>
    <xf numFmtId="1" fontId="0" fillId="0" borderId="1" xfId="0" applyNumberFormat="1" applyFont="1" applyBorder="1" applyAlignment="1">
      <alignment horizontal="center" vertical="center"/>
    </xf>
    <xf numFmtId="0" fontId="21" fillId="36" borderId="1" xfId="0" applyFont="1" applyFill="1" applyBorder="1"/>
    <xf numFmtId="0" fontId="22" fillId="42" borderId="1" xfId="0" applyFont="1" applyFill="1" applyBorder="1" applyAlignment="1">
      <alignment horizontal="center"/>
    </xf>
    <xf numFmtId="175" fontId="0" fillId="36" borderId="1" xfId="0" applyNumberFormat="1" applyFill="1" applyBorder="1"/>
    <xf numFmtId="175" fontId="0" fillId="0" borderId="1" xfId="0" applyNumberFormat="1" applyBorder="1"/>
    <xf numFmtId="178" fontId="0" fillId="39" borderId="11" xfId="80" applyNumberFormat="1" applyFont="1" applyFill="1" applyBorder="1" applyAlignment="1">
      <alignment horizontal="center"/>
    </xf>
    <xf numFmtId="0" fontId="0" fillId="0" borderId="0" xfId="0" applyAlignment="1">
      <alignment wrapText="1"/>
    </xf>
    <xf numFmtId="0" fontId="0" fillId="0" borderId="0" xfId="0" applyAlignment="1">
      <alignment vertical="top"/>
    </xf>
    <xf numFmtId="0" fontId="0" fillId="0" borderId="0" xfId="0" applyAlignment="1">
      <alignment vertical="center" wrapText="1"/>
    </xf>
    <xf numFmtId="0" fontId="35" fillId="0" borderId="0" xfId="79" applyAlignment="1">
      <alignment vertical="center"/>
    </xf>
    <xf numFmtId="0" fontId="46" fillId="0" borderId="0" xfId="0" applyFont="1" applyAlignment="1">
      <alignment vertical="center"/>
    </xf>
    <xf numFmtId="0" fontId="46" fillId="0" borderId="0" xfId="0" applyFont="1" applyAlignment="1">
      <alignment horizontal="center" vertical="center"/>
    </xf>
    <xf numFmtId="2" fontId="7" fillId="38" borderId="1" xfId="33" applyNumberFormat="1" applyFont="1" applyFill="1" applyBorder="1" applyAlignment="1">
      <alignment wrapText="1"/>
    </xf>
    <xf numFmtId="0" fontId="7" fillId="0" borderId="1" xfId="0" applyFont="1" applyFill="1" applyBorder="1"/>
    <xf numFmtId="173" fontId="0" fillId="36" borderId="1" xfId="0" applyNumberFormat="1" applyFont="1" applyFill="1" applyBorder="1" applyAlignment="1" applyProtection="1">
      <alignment horizontal="center" vertical="center" wrapText="1"/>
    </xf>
    <xf numFmtId="173" fontId="0" fillId="36" borderId="1" xfId="0" applyNumberFormat="1" applyFont="1" applyFill="1" applyBorder="1" applyAlignment="1" applyProtection="1">
      <alignment horizontal="justify" vertical="center" wrapText="1"/>
    </xf>
    <xf numFmtId="173" fontId="0" fillId="36" borderId="1" xfId="0" applyNumberFormat="1" applyFont="1" applyFill="1" applyBorder="1" applyAlignment="1" applyProtection="1">
      <alignment horizontal="justify" vertical="center"/>
    </xf>
    <xf numFmtId="173" fontId="0" fillId="36" borderId="1" xfId="0" applyNumberFormat="1" applyFont="1" applyFill="1" applyBorder="1" applyAlignment="1" applyProtection="1">
      <alignment vertical="center" wrapText="1"/>
    </xf>
    <xf numFmtId="174" fontId="0" fillId="36" borderId="1" xfId="0" applyNumberFormat="1" applyFont="1" applyFill="1" applyBorder="1" applyAlignment="1" applyProtection="1">
      <alignment vertical="center" wrapText="1"/>
    </xf>
    <xf numFmtId="0" fontId="18" fillId="42" borderId="1" xfId="0" applyFont="1" applyFill="1" applyBorder="1" applyAlignment="1">
      <alignment vertical="center"/>
    </xf>
    <xf numFmtId="0" fontId="0" fillId="36" borderId="2" xfId="0" applyFill="1" applyBorder="1" applyAlignment="1">
      <alignment horizontal="left"/>
    </xf>
    <xf numFmtId="0" fontId="0" fillId="36" borderId="62" xfId="0" applyFill="1" applyBorder="1" applyAlignment="1">
      <alignment horizontal="left"/>
    </xf>
    <xf numFmtId="0" fontId="0" fillId="36" borderId="60" xfId="0" applyFill="1" applyBorder="1" applyAlignment="1">
      <alignment horizontal="left"/>
    </xf>
    <xf numFmtId="0" fontId="18" fillId="2" borderId="14" xfId="0" applyFont="1" applyFill="1" applyBorder="1" applyAlignment="1">
      <alignment horizontal="center" vertical="center"/>
    </xf>
    <xf numFmtId="0" fontId="18" fillId="2" borderId="15" xfId="0" applyFont="1" applyFill="1" applyBorder="1" applyAlignment="1">
      <alignment horizontal="center" vertical="center"/>
    </xf>
    <xf numFmtId="0" fontId="18" fillId="2" borderId="16" xfId="0" applyFont="1" applyFill="1" applyBorder="1" applyAlignment="1">
      <alignment horizontal="center" vertical="center"/>
    </xf>
    <xf numFmtId="0" fontId="0" fillId="36" borderId="14" xfId="0" applyFill="1" applyBorder="1" applyAlignment="1">
      <alignment horizontal="center"/>
    </xf>
    <xf numFmtId="0" fontId="0" fillId="36" borderId="15" xfId="0" applyFill="1" applyBorder="1" applyAlignment="1">
      <alignment horizontal="center"/>
    </xf>
    <xf numFmtId="0" fontId="0" fillId="36" borderId="16" xfId="0" applyFill="1" applyBorder="1" applyAlignment="1">
      <alignment horizontal="center"/>
    </xf>
    <xf numFmtId="0" fontId="0" fillId="36" borderId="36" xfId="0" applyFill="1" applyBorder="1" applyAlignment="1">
      <alignment horizontal="left"/>
    </xf>
    <xf numFmtId="0" fontId="0" fillId="36" borderId="1" xfId="0" applyFill="1" applyBorder="1" applyAlignment="1">
      <alignment horizontal="left"/>
    </xf>
    <xf numFmtId="0" fontId="0" fillId="36" borderId="59" xfId="0" applyFill="1" applyBorder="1" applyAlignment="1">
      <alignment horizontal="left"/>
    </xf>
    <xf numFmtId="0" fontId="0" fillId="36" borderId="57" xfId="0" applyFill="1" applyBorder="1" applyAlignment="1">
      <alignment horizontal="left"/>
    </xf>
    <xf numFmtId="0" fontId="0" fillId="36" borderId="61" xfId="0" applyFill="1" applyBorder="1" applyAlignment="1">
      <alignment horizontal="left"/>
    </xf>
    <xf numFmtId="0" fontId="0" fillId="36" borderId="58" xfId="0" applyFill="1" applyBorder="1" applyAlignment="1">
      <alignment horizontal="left"/>
    </xf>
    <xf numFmtId="170" fontId="28" fillId="0" borderId="0" xfId="0" applyNumberFormat="1" applyFont="1" applyBorder="1" applyAlignment="1" applyProtection="1">
      <alignment horizontal="left" vertical="center" wrapText="1"/>
    </xf>
    <xf numFmtId="0" fontId="28" fillId="35" borderId="14" xfId="0" applyFont="1" applyFill="1" applyBorder="1" applyAlignment="1" applyProtection="1">
      <alignment horizontal="center" vertical="center" wrapText="1"/>
    </xf>
    <xf numFmtId="0" fontId="28" fillId="35" borderId="15" xfId="0" applyFont="1" applyFill="1" applyBorder="1" applyAlignment="1" applyProtection="1">
      <alignment horizontal="center" vertical="center" wrapText="1"/>
    </xf>
    <xf numFmtId="0" fontId="28" fillId="35" borderId="16" xfId="0" applyFont="1" applyFill="1" applyBorder="1" applyAlignment="1" applyProtection="1">
      <alignment horizontal="center" vertical="center" wrapText="1"/>
    </xf>
    <xf numFmtId="0" fontId="28" fillId="0" borderId="0" xfId="0" applyFont="1" applyBorder="1" applyAlignment="1" applyProtection="1">
      <alignment horizontal="right" vertical="center" wrapText="1"/>
    </xf>
    <xf numFmtId="0" fontId="28" fillId="36" borderId="21" xfId="0" applyFont="1" applyFill="1" applyBorder="1" applyAlignment="1" applyProtection="1">
      <alignment horizontal="center" vertical="center" wrapText="1"/>
    </xf>
    <xf numFmtId="0" fontId="28" fillId="36" borderId="20" xfId="0" applyFont="1" applyFill="1" applyBorder="1" applyAlignment="1" applyProtection="1">
      <alignment horizontal="center" vertical="center" wrapText="1"/>
    </xf>
    <xf numFmtId="0" fontId="28" fillId="36" borderId="30" xfId="0" applyFont="1" applyFill="1" applyBorder="1" applyAlignment="1" applyProtection="1">
      <alignment horizontal="center" vertical="center" wrapText="1"/>
    </xf>
    <xf numFmtId="0" fontId="28" fillId="36" borderId="22" xfId="0" applyFont="1" applyFill="1" applyBorder="1" applyAlignment="1" applyProtection="1">
      <alignment horizontal="center" vertical="center" wrapText="1"/>
    </xf>
    <xf numFmtId="0" fontId="28" fillId="36" borderId="19" xfId="0" applyFont="1" applyFill="1" applyBorder="1" applyAlignment="1" applyProtection="1">
      <alignment horizontal="center" vertical="center" wrapText="1"/>
    </xf>
    <xf numFmtId="0" fontId="28" fillId="36" borderId="17" xfId="0" applyFont="1" applyFill="1" applyBorder="1" applyAlignment="1" applyProtection="1">
      <alignment horizontal="center" vertical="center" wrapText="1"/>
    </xf>
    <xf numFmtId="0" fontId="28" fillId="36" borderId="14" xfId="0" applyFont="1" applyFill="1" applyBorder="1" applyAlignment="1" applyProtection="1">
      <alignment horizontal="center" vertical="center" wrapText="1"/>
    </xf>
    <xf numFmtId="0" fontId="28" fillId="36" borderId="16" xfId="0" applyFont="1" applyFill="1" applyBorder="1" applyAlignment="1" applyProtection="1">
      <alignment horizontal="center" vertical="center" wrapText="1"/>
    </xf>
    <xf numFmtId="0" fontId="23" fillId="0" borderId="14" xfId="0" applyFont="1" applyBorder="1" applyAlignment="1" applyProtection="1">
      <alignment horizontal="center" vertical="center" wrapText="1"/>
    </xf>
    <xf numFmtId="0" fontId="23" fillId="0" borderId="15" xfId="0" applyFont="1" applyBorder="1" applyAlignment="1" applyProtection="1">
      <alignment horizontal="center" vertical="center" wrapText="1"/>
    </xf>
    <xf numFmtId="0" fontId="23" fillId="0" borderId="16" xfId="0" applyFont="1" applyBorder="1" applyAlignment="1" applyProtection="1">
      <alignment horizontal="center" vertical="center" wrapText="1"/>
    </xf>
    <xf numFmtId="0" fontId="28" fillId="38" borderId="14" xfId="0" applyFont="1" applyFill="1" applyBorder="1" applyAlignment="1" applyProtection="1">
      <alignment horizontal="center" vertical="center" wrapText="1"/>
    </xf>
    <xf numFmtId="0" fontId="28" fillId="38" borderId="15" xfId="0" applyFont="1" applyFill="1" applyBorder="1" applyAlignment="1" applyProtection="1">
      <alignment horizontal="center" vertical="center" wrapText="1"/>
    </xf>
    <xf numFmtId="0" fontId="28" fillId="38" borderId="16" xfId="0" applyFont="1" applyFill="1" applyBorder="1" applyAlignment="1" applyProtection="1">
      <alignment horizontal="center" vertical="center" wrapText="1"/>
    </xf>
    <xf numFmtId="171" fontId="23" fillId="36" borderId="14" xfId="0" applyNumberFormat="1" applyFont="1" applyFill="1" applyBorder="1" applyAlignment="1" applyProtection="1">
      <alignment horizontal="center" vertical="center" wrapText="1"/>
    </xf>
    <xf numFmtId="171" fontId="23" fillId="36" borderId="15" xfId="0" applyNumberFormat="1" applyFont="1" applyFill="1" applyBorder="1" applyAlignment="1" applyProtection="1">
      <alignment horizontal="center" vertical="center" wrapText="1"/>
    </xf>
    <xf numFmtId="171" fontId="23" fillId="36" borderId="16" xfId="0" applyNumberFormat="1" applyFont="1" applyFill="1" applyBorder="1" applyAlignment="1" applyProtection="1">
      <alignment horizontal="center" vertical="center" wrapText="1"/>
    </xf>
    <xf numFmtId="0" fontId="23" fillId="38" borderId="14" xfId="0" applyFont="1" applyFill="1" applyBorder="1" applyAlignment="1" applyProtection="1">
      <alignment horizontal="center" vertical="center" wrapText="1"/>
    </xf>
    <xf numFmtId="0" fontId="23" fillId="38" borderId="15" xfId="0" applyFont="1" applyFill="1" applyBorder="1" applyAlignment="1" applyProtection="1">
      <alignment horizontal="center" vertical="center" wrapText="1"/>
    </xf>
    <xf numFmtId="0" fontId="23" fillId="38" borderId="16" xfId="0" applyFont="1" applyFill="1" applyBorder="1" applyAlignment="1" applyProtection="1">
      <alignment horizontal="center" vertical="center" wrapText="1"/>
    </xf>
    <xf numFmtId="0" fontId="23" fillId="0" borderId="14"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0" fillId="0" borderId="51" xfId="0" applyBorder="1" applyAlignment="1">
      <alignment horizontal="center" vertical="center"/>
    </xf>
    <xf numFmtId="0" fontId="0" fillId="0" borderId="48" xfId="0" applyBorder="1" applyAlignment="1">
      <alignment horizontal="center" vertical="center"/>
    </xf>
    <xf numFmtId="0" fontId="0" fillId="0" borderId="54" xfId="0" applyBorder="1" applyAlignment="1">
      <alignment horizontal="center" vertical="center"/>
    </xf>
    <xf numFmtId="0" fontId="0" fillId="0" borderId="1" xfId="0" applyBorder="1" applyAlignment="1">
      <alignment horizontal="center" vertical="center"/>
    </xf>
    <xf numFmtId="0" fontId="45" fillId="42" borderId="11" xfId="21" applyFont="1" applyFill="1" applyBorder="1" applyAlignment="1">
      <alignment horizontal="center" vertical="center"/>
    </xf>
    <xf numFmtId="0" fontId="45" fillId="42" borderId="49" xfId="21" applyFont="1" applyFill="1" applyBorder="1" applyAlignment="1">
      <alignment horizontal="center" vertical="center"/>
    </xf>
    <xf numFmtId="0" fontId="45" fillId="42" borderId="12" xfId="21" applyFont="1" applyFill="1" applyBorder="1" applyAlignment="1">
      <alignment horizontal="center" vertical="center"/>
    </xf>
    <xf numFmtId="0" fontId="18" fillId="42" borderId="1" xfId="0" applyFont="1" applyFill="1" applyBorder="1" applyAlignment="1" applyProtection="1">
      <alignment horizontal="center" vertical="center" wrapText="1"/>
    </xf>
    <xf numFmtId="0" fontId="7" fillId="36" borderId="11" xfId="33" applyFont="1" applyFill="1" applyBorder="1" applyAlignment="1">
      <alignment horizontal="left" vertical="center" wrapText="1"/>
    </xf>
    <xf numFmtId="0" fontId="7" fillId="36" borderId="49" xfId="33" applyFont="1" applyFill="1" applyBorder="1" applyAlignment="1">
      <alignment horizontal="left" vertical="center" wrapText="1"/>
    </xf>
    <xf numFmtId="0" fontId="7" fillId="36" borderId="12" xfId="33" applyFont="1" applyFill="1" applyBorder="1" applyAlignment="1">
      <alignment horizontal="left" vertical="center" wrapText="1"/>
    </xf>
    <xf numFmtId="0" fontId="0" fillId="36" borderId="53" xfId="0" applyFont="1" applyFill="1" applyBorder="1" applyAlignment="1">
      <alignment horizontal="center" vertical="center" wrapText="1"/>
    </xf>
    <xf numFmtId="0" fontId="0" fillId="36" borderId="50" xfId="0" applyFont="1" applyFill="1" applyBorder="1" applyAlignment="1">
      <alignment horizontal="center" vertical="center" wrapText="1"/>
    </xf>
    <xf numFmtId="0" fontId="0" fillId="36" borderId="55" xfId="0" applyFont="1" applyFill="1" applyBorder="1" applyAlignment="1">
      <alignment horizontal="center" vertical="center" wrapText="1"/>
    </xf>
    <xf numFmtId="0" fontId="0" fillId="36" borderId="51" xfId="0" applyFont="1" applyFill="1" applyBorder="1" applyAlignment="1">
      <alignment horizontal="center" vertical="center" wrapText="1"/>
    </xf>
    <xf numFmtId="0" fontId="0" fillId="36" borderId="48" xfId="0" applyFont="1" applyFill="1" applyBorder="1" applyAlignment="1">
      <alignment horizontal="center" vertical="center" wrapText="1"/>
    </xf>
    <xf numFmtId="0" fontId="0" fillId="36" borderId="54" xfId="0" applyFont="1" applyFill="1" applyBorder="1" applyAlignment="1">
      <alignment horizontal="center" vertical="center" wrapText="1"/>
    </xf>
    <xf numFmtId="0" fontId="27" fillId="0" borderId="0" xfId="1" applyFont="1" applyAlignment="1">
      <alignment horizontal="center"/>
    </xf>
    <xf numFmtId="166" fontId="6" fillId="2" borderId="11" xfId="8" applyFont="1" applyFill="1" applyBorder="1" applyAlignment="1">
      <alignment horizontal="center" vertical="center" wrapText="1"/>
    </xf>
    <xf numFmtId="166" fontId="6" fillId="2" borderId="49" xfId="8" applyFont="1" applyFill="1" applyBorder="1" applyAlignment="1">
      <alignment horizontal="center" vertical="center" wrapText="1"/>
    </xf>
    <xf numFmtId="166" fontId="6" fillId="2" borderId="12" xfId="8" applyFont="1" applyFill="1" applyBorder="1" applyAlignment="1">
      <alignment horizontal="center" vertical="center" wrapText="1"/>
    </xf>
    <xf numFmtId="0" fontId="18" fillId="2" borderId="1" xfId="0" applyFont="1" applyFill="1" applyBorder="1" applyAlignment="1">
      <alignment horizontal="center"/>
    </xf>
    <xf numFmtId="0" fontId="33" fillId="0" borderId="1" xfId="1" applyFont="1" applyBorder="1" applyAlignment="1">
      <alignment horizontal="center"/>
    </xf>
    <xf numFmtId="0" fontId="28" fillId="35" borderId="1" xfId="0" applyFont="1" applyFill="1" applyBorder="1" applyAlignment="1" applyProtection="1">
      <alignment horizontal="center" vertical="center" wrapText="1"/>
    </xf>
    <xf numFmtId="0" fontId="0" fillId="0" borderId="0" xfId="0" applyBorder="1" applyAlignment="1">
      <alignment horizontal="left" vertical="top" wrapText="1"/>
    </xf>
    <xf numFmtId="0" fontId="34" fillId="0" borderId="24" xfId="1" applyFont="1" applyBorder="1" applyAlignment="1">
      <alignment horizontal="left" wrapText="1"/>
    </xf>
    <xf numFmtId="166" fontId="6" fillId="2" borderId="14" xfId="8" applyFont="1" applyFill="1" applyBorder="1" applyAlignment="1">
      <alignment horizontal="center" vertical="center" wrapText="1"/>
    </xf>
    <xf numFmtId="166" fontId="6" fillId="2" borderId="16" xfId="8" applyFont="1" applyFill="1" applyBorder="1" applyAlignment="1">
      <alignment horizontal="center" vertical="center" wrapText="1"/>
    </xf>
    <xf numFmtId="0" fontId="1" fillId="0" borderId="14" xfId="1" applyBorder="1" applyAlignment="1">
      <alignment horizontal="center" vertical="center"/>
    </xf>
    <xf numFmtId="0" fontId="1" fillId="0" borderId="15" xfId="1" applyBorder="1" applyAlignment="1">
      <alignment horizontal="center" vertical="center"/>
    </xf>
    <xf numFmtId="0" fontId="1" fillId="0" borderId="16" xfId="1" applyBorder="1" applyAlignment="1">
      <alignment horizontal="center" vertical="center"/>
    </xf>
    <xf numFmtId="0" fontId="0" fillId="0" borderId="14"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66" fontId="31" fillId="2" borderId="14" xfId="8" applyFont="1" applyFill="1" applyBorder="1" applyAlignment="1">
      <alignment horizontal="center" vertical="center" wrapText="1"/>
    </xf>
    <xf numFmtId="166" fontId="31" fillId="2" borderId="16" xfId="8" applyFont="1" applyFill="1" applyBorder="1" applyAlignment="1">
      <alignment horizontal="center" vertical="center" wrapText="1"/>
    </xf>
    <xf numFmtId="0" fontId="29" fillId="0" borderId="14" xfId="1" applyFont="1" applyBorder="1" applyAlignment="1">
      <alignment horizontal="center" vertical="center"/>
    </xf>
    <xf numFmtId="0" fontId="29" fillId="0" borderId="16" xfId="1" applyFont="1" applyBorder="1" applyAlignment="1">
      <alignment horizontal="center" vertical="center"/>
    </xf>
    <xf numFmtId="0" fontId="30" fillId="0" borderId="0" xfId="1" applyFont="1" applyAlignment="1">
      <alignment horizontal="left"/>
    </xf>
    <xf numFmtId="0" fontId="30" fillId="0" borderId="24" xfId="1" applyFont="1" applyBorder="1" applyAlignment="1">
      <alignment horizontal="left"/>
    </xf>
    <xf numFmtId="166" fontId="6" fillId="2" borderId="1" xfId="8" applyFont="1" applyFill="1" applyBorder="1" applyAlignment="1">
      <alignment horizontal="center" vertical="center" wrapText="1"/>
    </xf>
    <xf numFmtId="0" fontId="36" fillId="2" borderId="1" xfId="1" applyFont="1" applyFill="1" applyBorder="1" applyAlignment="1">
      <alignment horizontal="center"/>
    </xf>
    <xf numFmtId="0" fontId="6" fillId="2" borderId="1" xfId="1" applyFont="1" applyFill="1" applyBorder="1" applyAlignment="1">
      <alignment horizontal="center" wrapText="1"/>
    </xf>
    <xf numFmtId="0" fontId="37" fillId="0" borderId="1" xfId="1" applyFont="1" applyFill="1" applyBorder="1" applyAlignment="1">
      <alignment horizontal="center" vertical="center"/>
    </xf>
    <xf numFmtId="0" fontId="36" fillId="2" borderId="11" xfId="1" applyFont="1" applyFill="1" applyBorder="1" applyAlignment="1">
      <alignment horizontal="center"/>
    </xf>
    <xf numFmtId="0" fontId="36" fillId="2" borderId="49" xfId="1" applyFont="1" applyFill="1" applyBorder="1" applyAlignment="1">
      <alignment horizontal="center"/>
    </xf>
    <xf numFmtId="0" fontId="36" fillId="2" borderId="24" xfId="1" applyFont="1" applyFill="1" applyBorder="1" applyAlignment="1">
      <alignment horizontal="center"/>
    </xf>
    <xf numFmtId="0" fontId="27" fillId="0" borderId="14" xfId="1" applyFont="1" applyBorder="1" applyAlignment="1">
      <alignment horizontal="center" vertical="center"/>
    </xf>
    <xf numFmtId="0" fontId="27" fillId="0" borderId="15" xfId="1" applyFont="1" applyBorder="1" applyAlignment="1">
      <alignment horizontal="center" vertical="center"/>
    </xf>
    <xf numFmtId="0" fontId="27" fillId="0" borderId="16" xfId="1" applyFont="1" applyBorder="1" applyAlignment="1">
      <alignment horizontal="center" vertical="center"/>
    </xf>
    <xf numFmtId="0" fontId="18" fillId="42" borderId="11" xfId="0" applyFont="1" applyFill="1" applyBorder="1" applyAlignment="1">
      <alignment horizontal="center"/>
    </xf>
    <xf numFmtId="0" fontId="18" fillId="42" borderId="49" xfId="0" applyFont="1" applyFill="1" applyBorder="1" applyAlignment="1">
      <alignment horizontal="center"/>
    </xf>
    <xf numFmtId="0" fontId="18" fillId="42" borderId="12" xfId="0" applyFont="1" applyFill="1" applyBorder="1" applyAlignment="1">
      <alignment horizontal="center"/>
    </xf>
    <xf numFmtId="0" fontId="22" fillId="42" borderId="1" xfId="0" applyFont="1" applyFill="1" applyBorder="1" applyAlignment="1">
      <alignment horizontal="right"/>
    </xf>
    <xf numFmtId="43" fontId="0" fillId="36" borderId="1" xfId="0" applyNumberFormat="1" applyFont="1" applyFill="1" applyBorder="1" applyAlignment="1">
      <alignment vertical="center"/>
    </xf>
    <xf numFmtId="2" fontId="7" fillId="36" borderId="1" xfId="33" applyNumberFormat="1" applyFont="1" applyFill="1" applyBorder="1" applyAlignment="1">
      <alignment wrapText="1"/>
    </xf>
    <xf numFmtId="9" fontId="0" fillId="36" borderId="1" xfId="0" applyNumberFormat="1" applyFill="1" applyBorder="1" applyAlignment="1">
      <alignment horizontal="center"/>
    </xf>
  </cellXfs>
  <cellStyles count="81">
    <cellStyle name="20% - Énfasis1" xfId="29" builtinId="30" customBuiltin="1"/>
    <cellStyle name="20% - Énfasis1 2" xfId="60"/>
    <cellStyle name="20% - Énfasis2" xfId="33" builtinId="34" customBuiltin="1"/>
    <cellStyle name="20% - Énfasis2 2" xfId="62"/>
    <cellStyle name="20% - Énfasis3" xfId="37" builtinId="38" customBuiltin="1"/>
    <cellStyle name="20% - Énfasis3 2" xfId="64"/>
    <cellStyle name="20% - Énfasis4" xfId="41" builtinId="42" customBuiltin="1"/>
    <cellStyle name="20% - Énfasis4 2" xfId="66"/>
    <cellStyle name="20% - Énfasis5" xfId="45" builtinId="46" customBuiltin="1"/>
    <cellStyle name="20% - Énfasis5 2" xfId="68"/>
    <cellStyle name="20% - Énfasis6" xfId="49" builtinId="50" customBuiltin="1"/>
    <cellStyle name="20% - Énfasis6 2" xfId="70"/>
    <cellStyle name="40% - Énfasis1" xfId="30" builtinId="31" customBuiltin="1"/>
    <cellStyle name="40% - Énfasis1 2" xfId="61"/>
    <cellStyle name="40% - Énfasis2" xfId="34" builtinId="35" customBuiltin="1"/>
    <cellStyle name="40% - Énfasis2 2" xfId="63"/>
    <cellStyle name="40% - Énfasis3" xfId="38" builtinId="39" customBuiltin="1"/>
    <cellStyle name="40% - Énfasis3 2" xfId="65"/>
    <cellStyle name="40% - Énfasis4" xfId="42" builtinId="43" customBuiltin="1"/>
    <cellStyle name="40% - Énfasis4 2" xfId="67"/>
    <cellStyle name="40% - Énfasis5" xfId="46" builtinId="47" customBuiltin="1"/>
    <cellStyle name="40% - Énfasis5 2" xfId="69"/>
    <cellStyle name="40% - Énfasis6" xfId="50" builtinId="51" customBuiltin="1"/>
    <cellStyle name="40% - Énfasis6 2" xfId="71"/>
    <cellStyle name="60% - Énfasis1" xfId="31" builtinId="32" customBuiltin="1"/>
    <cellStyle name="60% - Énfasis2" xfId="35" builtinId="36" customBuiltin="1"/>
    <cellStyle name="60% - Énfasis3" xfId="39" builtinId="40" customBuiltin="1"/>
    <cellStyle name="60% - Énfasis4" xfId="43" builtinId="44" customBuiltin="1"/>
    <cellStyle name="60% - Énfasis5" xfId="47" builtinId="48" customBuiltin="1"/>
    <cellStyle name="60% - Énfasis6" xfId="51" builtinId="52" customBuiltin="1"/>
    <cellStyle name="Buena" xfId="17" builtinId="26" customBuiltin="1"/>
    <cellStyle name="Cálculo" xfId="22" builtinId="22" customBuiltin="1"/>
    <cellStyle name="Celda de comprobación" xfId="23" builtinId="23" customBuiltin="1"/>
    <cellStyle name="Celda vinculada 2" xfId="52"/>
    <cellStyle name="Encabezado 4" xfId="16" builtinId="19" customBuiltin="1"/>
    <cellStyle name="Énfasis1" xfId="28" builtinId="29" customBuiltin="1"/>
    <cellStyle name="Énfasis2" xfId="32" builtinId="33" customBuiltin="1"/>
    <cellStyle name="Énfasis3" xfId="36" builtinId="37" customBuiltin="1"/>
    <cellStyle name="Énfasis4" xfId="40" builtinId="41" customBuiltin="1"/>
    <cellStyle name="Énfasis5" xfId="44" builtinId="45" customBuiltin="1"/>
    <cellStyle name="Énfasis6" xfId="48" builtinId="49" customBuiltin="1"/>
    <cellStyle name="Entrada" xfId="20" builtinId="20" customBuiltin="1"/>
    <cellStyle name="Hipervínculo" xfId="79" builtinId="8"/>
    <cellStyle name="Incorrecto" xfId="18" builtinId="27" customBuiltin="1"/>
    <cellStyle name="Millares" xfId="11" builtinId="3"/>
    <cellStyle name="Millares 2" xfId="3"/>
    <cellStyle name="Millares 2 2" xfId="76"/>
    <cellStyle name="Millares 2 3" xfId="73"/>
    <cellStyle name="Millares 3" xfId="2"/>
    <cellStyle name="Millares 3 2" xfId="56"/>
    <cellStyle name="Moneda" xfId="78" builtinId="4"/>
    <cellStyle name="Neutral" xfId="19" builtinId="28" customBuiltin="1"/>
    <cellStyle name="Normal" xfId="0" builtinId="0"/>
    <cellStyle name="Normal 2" xfId="4"/>
    <cellStyle name="Normal 2 2" xfId="5"/>
    <cellStyle name="Normal 2 2 2" xfId="6"/>
    <cellStyle name="Normal 2 2 3" xfId="75"/>
    <cellStyle name="Normal 2 3" xfId="77"/>
    <cellStyle name="Normal 2 4" xfId="72"/>
    <cellStyle name="Normal 3" xfId="1"/>
    <cellStyle name="Normal 3 2" xfId="55"/>
    <cellStyle name="Normal 4" xfId="58"/>
    <cellStyle name="Normal 5" xfId="54"/>
    <cellStyle name="Normal 6" xfId="53"/>
    <cellStyle name="Normal_CHAP31" xfId="7"/>
    <cellStyle name="Normal_Cuentas Ministerio Publico 20090504_2" xfId="8"/>
    <cellStyle name="Normal_Electric Bills" xfId="9"/>
    <cellStyle name="Notas" xfId="25" builtinId="10" customBuiltin="1"/>
    <cellStyle name="Notas 2" xfId="59"/>
    <cellStyle name="Porcentaje" xfId="80" builtinId="5"/>
    <cellStyle name="Porcentaje 2" xfId="10"/>
    <cellStyle name="Porcentaje 2 2" xfId="74"/>
    <cellStyle name="Porcentaje 3" xfId="57"/>
    <cellStyle name="Salida" xfId="21" builtinId="21" customBuiltin="1"/>
    <cellStyle name="Texto de advertencia" xfId="24" builtinId="11" customBuiltin="1"/>
    <cellStyle name="Texto explicativo" xfId="26" builtinId="53" customBuiltin="1"/>
    <cellStyle name="Título" xfId="12" builtinId="15" customBuiltin="1"/>
    <cellStyle name="Título 1" xfId="13" builtinId="16" customBuiltin="1"/>
    <cellStyle name="Título 2" xfId="14" builtinId="17" customBuiltin="1"/>
    <cellStyle name="Título 3" xfId="15" builtinId="18" customBuiltin="1"/>
    <cellStyle name="Total" xfId="27" builtinId="25" customBuiltin="1"/>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393423424811623"/>
          <c:y val="7.0715929739551792E-2"/>
          <c:w val="0.69392976562861153"/>
          <c:h val="0.90922592368261657"/>
        </c:manualLayout>
      </c:layout>
      <c:pieChart>
        <c:varyColors val="1"/>
        <c:ser>
          <c:idx val="0"/>
          <c:order val="0"/>
          <c:dLbls>
            <c:showLegendKey val="0"/>
            <c:showVal val="0"/>
            <c:showCatName val="0"/>
            <c:showSerName val="0"/>
            <c:showPercent val="1"/>
            <c:showBubbleSize val="0"/>
            <c:showLeaderLines val="1"/>
          </c:dLbls>
          <c:cat>
            <c:numRef>
              <c:f>'Resumen consumos y usos'!$I$28:$I$32</c:f>
              <c:numCache>
                <c:formatCode>_-* #,##0.00_-;\-* #,##0.00_-;_-* "-"_-;_-@_-</c:formatCode>
                <c:ptCount val="5"/>
              </c:numCache>
            </c:numRef>
          </c:cat>
          <c:val>
            <c:numRef>
              <c:f>'Resumen consumos y usos'!$F$28:$F$32</c:f>
              <c:numCache>
                <c:formatCode>_-* #,##0.00_-;\-* #,##0.00_-;_-* "-"_-;_-@_-</c:formatCode>
                <c:ptCount val="5"/>
                <c:pt idx="0">
                  <c:v>2543815</c:v>
                </c:pt>
                <c:pt idx="1">
                  <c:v>48541.627436379829</c:v>
                </c:pt>
                <c:pt idx="2">
                  <c:v>34785</c:v>
                </c:pt>
                <c:pt idx="3">
                  <c:v>478800</c:v>
                </c:pt>
                <c:pt idx="4">
                  <c:v>0</c:v>
                </c:pt>
              </c:numCache>
            </c:numRef>
          </c:val>
        </c:ser>
        <c:dLbls>
          <c:showLegendKey val="0"/>
          <c:showVal val="0"/>
          <c:showCatName val="0"/>
          <c:showSerName val="0"/>
          <c:showPercent val="1"/>
          <c:showBubbleSize val="0"/>
          <c:showLeaderLines val="1"/>
        </c:dLbls>
        <c:firstSliceAng val="0"/>
      </c:pieChart>
      <c:spPr>
        <a:noFill/>
        <a:ln w="25400">
          <a:noFill/>
        </a:ln>
      </c:spPr>
    </c:plotArea>
    <c:legend>
      <c:legendPos val="t"/>
      <c:layout>
        <c:manualLayout>
          <c:xMode val="edge"/>
          <c:yMode val="edge"/>
          <c:x val="1.0178179782321731E-3"/>
          <c:y val="0.20906279022814456"/>
          <c:w val="3.8773440991108986E-2"/>
          <c:h val="0.25630069318258297"/>
        </c:manualLayout>
      </c:layout>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cat>
            <c:strRef>
              <c:f>'Diesel '!$B$9:$B$20</c:f>
              <c:strCache>
                <c:ptCount val="12"/>
                <c:pt idx="0">
                  <c:v>Enero </c:v>
                </c:pt>
                <c:pt idx="1">
                  <c:v>Febrero </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'Diesel '!$E$9:$E$20</c:f>
              <c:numCache>
                <c:formatCode>_-"$"\ * #,##0_-;\-"$"\ * #,##0_-;_-"$"\ * "-"??_-;_-@_-</c:formatCode>
                <c:ptCount val="12"/>
                <c:pt idx="0">
                  <c:v>2437500</c:v>
                </c:pt>
                <c:pt idx="1">
                  <c:v>2925000</c:v>
                </c:pt>
                <c:pt idx="2">
                  <c:v>3412500</c:v>
                </c:pt>
                <c:pt idx="3">
                  <c:v>3900000.0000000005</c:v>
                </c:pt>
                <c:pt idx="4">
                  <c:v>3412500</c:v>
                </c:pt>
                <c:pt idx="5">
                  <c:v>2925000</c:v>
                </c:pt>
                <c:pt idx="6">
                  <c:v>2437500</c:v>
                </c:pt>
                <c:pt idx="7">
                  <c:v>1950000.0000000002</c:v>
                </c:pt>
                <c:pt idx="8">
                  <c:v>1462500</c:v>
                </c:pt>
                <c:pt idx="9">
                  <c:v>975000.00000000012</c:v>
                </c:pt>
                <c:pt idx="10">
                  <c:v>1462500</c:v>
                </c:pt>
                <c:pt idx="11">
                  <c:v>1950000.0000000002</c:v>
                </c:pt>
              </c:numCache>
            </c:numRef>
          </c:val>
          <c:smooth val="0"/>
        </c:ser>
        <c:dLbls>
          <c:showLegendKey val="0"/>
          <c:showVal val="0"/>
          <c:showCatName val="0"/>
          <c:showSerName val="0"/>
          <c:showPercent val="0"/>
          <c:showBubbleSize val="0"/>
        </c:dLbls>
        <c:marker val="1"/>
        <c:smooth val="0"/>
        <c:axId val="183814400"/>
        <c:axId val="183816192"/>
      </c:lineChart>
      <c:catAx>
        <c:axId val="183814400"/>
        <c:scaling>
          <c:orientation val="minMax"/>
        </c:scaling>
        <c:delete val="0"/>
        <c:axPos val="b"/>
        <c:majorTickMark val="none"/>
        <c:minorTickMark val="none"/>
        <c:tickLblPos val="nextTo"/>
        <c:crossAx val="183816192"/>
        <c:crosses val="autoZero"/>
        <c:auto val="1"/>
        <c:lblAlgn val="ctr"/>
        <c:lblOffset val="100"/>
        <c:noMultiLvlLbl val="0"/>
      </c:catAx>
      <c:valAx>
        <c:axId val="183816192"/>
        <c:scaling>
          <c:orientation val="minMax"/>
        </c:scaling>
        <c:delete val="0"/>
        <c:axPos val="l"/>
        <c:majorGridlines/>
        <c:numFmt formatCode="_-&quot;$&quot;\ * #,##0_-;\-&quot;$&quot;\ * #,##0_-;_-&quot;$&quot;\ * &quot;-&quot;??_-;_-@_-" sourceLinked="1"/>
        <c:majorTickMark val="none"/>
        <c:minorTickMark val="none"/>
        <c:tickLblPos val="nextTo"/>
        <c:crossAx val="183814400"/>
        <c:crosses val="autoZero"/>
        <c:crossBetween val="between"/>
      </c:valAx>
    </c:plotArea>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30"/>
    </c:view3D>
    <c:floor>
      <c:thickness val="0"/>
    </c:floor>
    <c:sideWall>
      <c:thickness val="0"/>
    </c:sideWall>
    <c:backWall>
      <c:thickness val="0"/>
    </c:backWall>
    <c:plotArea>
      <c:layout>
        <c:manualLayout>
          <c:layoutTarget val="inner"/>
          <c:xMode val="edge"/>
          <c:yMode val="edge"/>
          <c:x val="1.2999125109361328E-2"/>
          <c:y val="1.1574074074074073E-2"/>
          <c:w val="0.77643307086614177"/>
          <c:h val="0.95833333333333337"/>
        </c:manualLayout>
      </c:layout>
      <c:pie3DChart>
        <c:varyColors val="1"/>
        <c:ser>
          <c:idx val="0"/>
          <c:order val="0"/>
          <c:explosion val="25"/>
          <c:dLbls>
            <c:showLegendKey val="0"/>
            <c:showVal val="0"/>
            <c:showCatName val="0"/>
            <c:showSerName val="0"/>
            <c:showPercent val="1"/>
            <c:showBubbleSize val="0"/>
            <c:showLeaderLines val="1"/>
          </c:dLbls>
          <c:cat>
            <c:strRef>
              <c:f>'Gráficos consumos'!$A$5:$A$9</c:f>
              <c:strCache>
                <c:ptCount val="5"/>
                <c:pt idx="0">
                  <c:v>Electricidad</c:v>
                </c:pt>
                <c:pt idx="1">
                  <c:v>Gas natural</c:v>
                </c:pt>
                <c:pt idx="2">
                  <c:v>Gas licuado</c:v>
                </c:pt>
                <c:pt idx="3">
                  <c:v>Diesel</c:v>
                </c:pt>
                <c:pt idx="4">
                  <c:v>Otros</c:v>
                </c:pt>
              </c:strCache>
            </c:strRef>
          </c:cat>
          <c:val>
            <c:numRef>
              <c:f>'Gráficos consumos'!$B$5:$B$9</c:f>
              <c:numCache>
                <c:formatCode>_(* #,##0.00_);_(* \(#,##0.00\);_(* "-"??_);_(@_)</c:formatCode>
                <c:ptCount val="5"/>
                <c:pt idx="0">
                  <c:v>2543815</c:v>
                </c:pt>
                <c:pt idx="1">
                  <c:v>48541.627436379829</c:v>
                </c:pt>
                <c:pt idx="2">
                  <c:v>34785</c:v>
                </c:pt>
                <c:pt idx="3">
                  <c:v>478800</c:v>
                </c:pt>
                <c:pt idx="4">
                  <c:v>0</c:v>
                </c:pt>
              </c:numCache>
            </c:numRef>
          </c:val>
        </c:ser>
        <c:dLbls>
          <c:showLegendKey val="0"/>
          <c:showVal val="0"/>
          <c:showCatName val="0"/>
          <c:showSerName val="0"/>
          <c:showPercent val="1"/>
          <c:showBubbleSize val="0"/>
          <c:showLeaderLines val="1"/>
        </c:dLbls>
      </c:pie3D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30"/>
    </c:view3D>
    <c:floor>
      <c:thickness val="0"/>
    </c:floor>
    <c:sideWall>
      <c:thickness val="0"/>
    </c:sideWall>
    <c:backWall>
      <c:thickness val="0"/>
    </c:backWall>
    <c:plotArea>
      <c:layout>
        <c:manualLayout>
          <c:layoutTarget val="inner"/>
          <c:xMode val="edge"/>
          <c:yMode val="edge"/>
          <c:x val="1.2999125109361328E-2"/>
          <c:y val="1.1574074074074073E-2"/>
          <c:w val="0.77643307086614177"/>
          <c:h val="0.95833333333333337"/>
        </c:manualLayout>
      </c:layout>
      <c:pie3DChart>
        <c:varyColors val="1"/>
        <c:ser>
          <c:idx val="0"/>
          <c:order val="0"/>
          <c:explosion val="25"/>
          <c:dLbls>
            <c:showLegendKey val="0"/>
            <c:showVal val="0"/>
            <c:showCatName val="0"/>
            <c:showSerName val="0"/>
            <c:showPercent val="1"/>
            <c:showBubbleSize val="0"/>
            <c:showLeaderLines val="1"/>
          </c:dLbls>
          <c:cat>
            <c:strRef>
              <c:f>'Gráficos consumos'!$A$5:$A$9</c:f>
              <c:strCache>
                <c:ptCount val="5"/>
                <c:pt idx="0">
                  <c:v>Electricidad</c:v>
                </c:pt>
                <c:pt idx="1">
                  <c:v>Gas natural</c:v>
                </c:pt>
                <c:pt idx="2">
                  <c:v>Gas licuado</c:v>
                </c:pt>
                <c:pt idx="3">
                  <c:v>Diesel</c:v>
                </c:pt>
                <c:pt idx="4">
                  <c:v>Otros</c:v>
                </c:pt>
              </c:strCache>
            </c:strRef>
          </c:cat>
          <c:val>
            <c:numRef>
              <c:f>'Gráficos consumos'!$C$5:$C$9</c:f>
              <c:numCache>
                <c:formatCode>_-"$"\ * #,##0_-;\-"$"\ * #,##0_-;_-"$"\ * "-"??_-;_-@_-</c:formatCode>
                <c:ptCount val="5"/>
                <c:pt idx="0">
                  <c:v>248255967.40000001</c:v>
                </c:pt>
                <c:pt idx="1">
                  <c:v>5947194.7999999989</c:v>
                </c:pt>
                <c:pt idx="2">
                  <c:v>3019500</c:v>
                </c:pt>
                <c:pt idx="3">
                  <c:v>29250000</c:v>
                </c:pt>
                <c:pt idx="4">
                  <c:v>0</c:v>
                </c:pt>
              </c:numCache>
            </c:numRef>
          </c:val>
        </c:ser>
        <c:dLbls>
          <c:showLegendKey val="0"/>
          <c:showVal val="0"/>
          <c:showCatName val="0"/>
          <c:showSerName val="0"/>
          <c:showPercent val="1"/>
          <c:showBubbleSize val="0"/>
          <c:showLeaderLines val="1"/>
        </c:dLbls>
      </c:pie3DChart>
    </c:plotArea>
    <c:legend>
      <c:legendPos val="r"/>
      <c:layout/>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'Curva Electricidad'!$B$14</c:f>
              <c:strCache>
                <c:ptCount val="1"/>
                <c:pt idx="0">
                  <c:v>Perfil 1 Verano</c:v>
                </c:pt>
              </c:strCache>
            </c:strRef>
          </c:tx>
          <c:marker>
            <c:symbol val="none"/>
          </c:marker>
          <c:cat>
            <c:numRef>
              <c:f>'Curva Electricidad'!$C$15:$AA$15</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'Curva Electricidad'!$C$19:$AA$19</c:f>
              <c:numCache>
                <c:formatCode>General</c:formatCode>
                <c:ptCount val="25"/>
                <c:pt idx="0">
                  <c:v>250.5</c:v>
                </c:pt>
                <c:pt idx="1">
                  <c:v>250.5</c:v>
                </c:pt>
                <c:pt idx="2">
                  <c:v>250.5</c:v>
                </c:pt>
                <c:pt idx="3">
                  <c:v>250.5</c:v>
                </c:pt>
                <c:pt idx="4">
                  <c:v>250.5</c:v>
                </c:pt>
                <c:pt idx="5">
                  <c:v>250.5</c:v>
                </c:pt>
                <c:pt idx="6">
                  <c:v>250.5</c:v>
                </c:pt>
                <c:pt idx="7">
                  <c:v>250.5</c:v>
                </c:pt>
                <c:pt idx="8">
                  <c:v>250.5</c:v>
                </c:pt>
                <c:pt idx="9">
                  <c:v>196.36</c:v>
                </c:pt>
                <c:pt idx="10">
                  <c:v>196.36</c:v>
                </c:pt>
                <c:pt idx="11">
                  <c:v>446.36</c:v>
                </c:pt>
                <c:pt idx="12">
                  <c:v>446.36</c:v>
                </c:pt>
                <c:pt idx="13">
                  <c:v>396.36</c:v>
                </c:pt>
                <c:pt idx="14">
                  <c:v>446.36</c:v>
                </c:pt>
                <c:pt idx="15">
                  <c:v>446.36</c:v>
                </c:pt>
                <c:pt idx="16">
                  <c:v>196.36</c:v>
                </c:pt>
                <c:pt idx="17">
                  <c:v>346.36</c:v>
                </c:pt>
                <c:pt idx="18">
                  <c:v>259.65999999999997</c:v>
                </c:pt>
                <c:pt idx="19">
                  <c:v>309.65999999999997</c:v>
                </c:pt>
                <c:pt idx="20">
                  <c:v>309.65999999999997</c:v>
                </c:pt>
                <c:pt idx="21">
                  <c:v>309.65999999999997</c:v>
                </c:pt>
                <c:pt idx="22">
                  <c:v>309.65999999999997</c:v>
                </c:pt>
                <c:pt idx="23">
                  <c:v>309.65999999999997</c:v>
                </c:pt>
                <c:pt idx="24">
                  <c:v>309.65999999999997</c:v>
                </c:pt>
              </c:numCache>
            </c:numRef>
          </c:val>
          <c:smooth val="0"/>
        </c:ser>
        <c:ser>
          <c:idx val="1"/>
          <c:order val="1"/>
          <c:tx>
            <c:strRef>
              <c:f>'Curva Electricidad'!$B$21</c:f>
              <c:strCache>
                <c:ptCount val="1"/>
                <c:pt idx="0">
                  <c:v>Perfil 1 Otoño</c:v>
                </c:pt>
              </c:strCache>
            </c:strRef>
          </c:tx>
          <c:marker>
            <c:symbol val="none"/>
          </c:marker>
          <c:val>
            <c:numRef>
              <c:f>'Curva Electricidad'!$C$26:$AA$26</c:f>
              <c:numCache>
                <c:formatCode>General</c:formatCode>
                <c:ptCount val="25"/>
                <c:pt idx="0">
                  <c:v>300.5</c:v>
                </c:pt>
                <c:pt idx="1">
                  <c:v>300.5</c:v>
                </c:pt>
                <c:pt idx="2">
                  <c:v>300.5</c:v>
                </c:pt>
                <c:pt idx="3">
                  <c:v>300.5</c:v>
                </c:pt>
                <c:pt idx="4">
                  <c:v>300.5</c:v>
                </c:pt>
                <c:pt idx="5">
                  <c:v>300.5</c:v>
                </c:pt>
                <c:pt idx="6">
                  <c:v>300.5</c:v>
                </c:pt>
                <c:pt idx="7">
                  <c:v>300.5</c:v>
                </c:pt>
                <c:pt idx="8">
                  <c:v>300.5</c:v>
                </c:pt>
                <c:pt idx="9">
                  <c:v>188.005</c:v>
                </c:pt>
                <c:pt idx="10">
                  <c:v>196.005</c:v>
                </c:pt>
                <c:pt idx="11">
                  <c:v>271.005</c:v>
                </c:pt>
                <c:pt idx="12">
                  <c:v>271.005</c:v>
                </c:pt>
                <c:pt idx="13">
                  <c:v>226.005</c:v>
                </c:pt>
                <c:pt idx="14">
                  <c:v>271.005</c:v>
                </c:pt>
                <c:pt idx="15">
                  <c:v>271.005</c:v>
                </c:pt>
                <c:pt idx="16">
                  <c:v>196.005</c:v>
                </c:pt>
                <c:pt idx="17">
                  <c:v>396.005</c:v>
                </c:pt>
                <c:pt idx="18">
                  <c:v>310.80500000000001</c:v>
                </c:pt>
                <c:pt idx="19">
                  <c:v>355.80500000000001</c:v>
                </c:pt>
                <c:pt idx="20">
                  <c:v>355.80500000000001</c:v>
                </c:pt>
                <c:pt idx="21">
                  <c:v>355.80500000000001</c:v>
                </c:pt>
                <c:pt idx="22">
                  <c:v>355.80500000000001</c:v>
                </c:pt>
                <c:pt idx="23">
                  <c:v>355.80500000000001</c:v>
                </c:pt>
                <c:pt idx="24">
                  <c:v>355.80500000000001</c:v>
                </c:pt>
              </c:numCache>
            </c:numRef>
          </c:val>
          <c:smooth val="0"/>
        </c:ser>
        <c:ser>
          <c:idx val="2"/>
          <c:order val="2"/>
          <c:tx>
            <c:strRef>
              <c:f>'Curva Electricidad'!$B$28</c:f>
              <c:strCache>
                <c:ptCount val="1"/>
                <c:pt idx="0">
                  <c:v>Perfil 1 Invierno</c:v>
                </c:pt>
              </c:strCache>
            </c:strRef>
          </c:tx>
          <c:marker>
            <c:symbol val="none"/>
          </c:marker>
          <c:val>
            <c:numRef>
              <c:f>'Curva Electricidad'!$C$33:$AA$33</c:f>
              <c:numCache>
                <c:formatCode>General</c:formatCode>
                <c:ptCount val="25"/>
                <c:pt idx="0">
                  <c:v>350.5</c:v>
                </c:pt>
                <c:pt idx="1">
                  <c:v>350.5</c:v>
                </c:pt>
                <c:pt idx="2">
                  <c:v>350.5</c:v>
                </c:pt>
                <c:pt idx="3">
                  <c:v>350.5</c:v>
                </c:pt>
                <c:pt idx="4">
                  <c:v>350.5</c:v>
                </c:pt>
                <c:pt idx="5">
                  <c:v>350.5</c:v>
                </c:pt>
                <c:pt idx="6">
                  <c:v>350.5</c:v>
                </c:pt>
                <c:pt idx="7">
                  <c:v>350.5</c:v>
                </c:pt>
                <c:pt idx="8">
                  <c:v>350.5</c:v>
                </c:pt>
                <c:pt idx="9">
                  <c:v>184.65</c:v>
                </c:pt>
                <c:pt idx="10">
                  <c:v>200.65</c:v>
                </c:pt>
                <c:pt idx="11">
                  <c:v>200.65</c:v>
                </c:pt>
                <c:pt idx="12">
                  <c:v>200.65</c:v>
                </c:pt>
                <c:pt idx="13">
                  <c:v>155.65</c:v>
                </c:pt>
                <c:pt idx="14">
                  <c:v>200.65</c:v>
                </c:pt>
                <c:pt idx="15">
                  <c:v>200.65</c:v>
                </c:pt>
                <c:pt idx="16">
                  <c:v>200.65</c:v>
                </c:pt>
                <c:pt idx="17">
                  <c:v>450.65</c:v>
                </c:pt>
                <c:pt idx="18">
                  <c:v>361.95</c:v>
                </c:pt>
                <c:pt idx="19">
                  <c:v>406.95</c:v>
                </c:pt>
                <c:pt idx="20">
                  <c:v>406.95</c:v>
                </c:pt>
                <c:pt idx="21">
                  <c:v>406.95</c:v>
                </c:pt>
                <c:pt idx="22">
                  <c:v>406.95</c:v>
                </c:pt>
                <c:pt idx="23">
                  <c:v>406.95</c:v>
                </c:pt>
                <c:pt idx="24">
                  <c:v>406.95</c:v>
                </c:pt>
              </c:numCache>
            </c:numRef>
          </c:val>
          <c:smooth val="0"/>
        </c:ser>
        <c:ser>
          <c:idx val="3"/>
          <c:order val="3"/>
          <c:tx>
            <c:strRef>
              <c:f>'Curva Electricidad'!$B$35</c:f>
              <c:strCache>
                <c:ptCount val="1"/>
                <c:pt idx="0">
                  <c:v>Perfil 1 Primavera</c:v>
                </c:pt>
              </c:strCache>
            </c:strRef>
          </c:tx>
          <c:marker>
            <c:symbol val="none"/>
          </c:marker>
          <c:val>
            <c:numRef>
              <c:f>'Curva Electricidad'!$C$40:$AA$40</c:f>
              <c:numCache>
                <c:formatCode>General</c:formatCode>
                <c:ptCount val="25"/>
                <c:pt idx="0">
                  <c:v>300.5</c:v>
                </c:pt>
                <c:pt idx="1">
                  <c:v>300.5</c:v>
                </c:pt>
                <c:pt idx="2">
                  <c:v>300.5</c:v>
                </c:pt>
                <c:pt idx="3">
                  <c:v>300.5</c:v>
                </c:pt>
                <c:pt idx="4">
                  <c:v>300.5</c:v>
                </c:pt>
                <c:pt idx="5">
                  <c:v>300.5</c:v>
                </c:pt>
                <c:pt idx="6">
                  <c:v>300.5</c:v>
                </c:pt>
                <c:pt idx="7">
                  <c:v>300.5</c:v>
                </c:pt>
                <c:pt idx="8">
                  <c:v>300.5</c:v>
                </c:pt>
                <c:pt idx="9">
                  <c:v>188.005</c:v>
                </c:pt>
                <c:pt idx="10">
                  <c:v>196.005</c:v>
                </c:pt>
                <c:pt idx="11">
                  <c:v>246.005</c:v>
                </c:pt>
                <c:pt idx="12">
                  <c:v>246.005</c:v>
                </c:pt>
                <c:pt idx="13">
                  <c:v>201.005</c:v>
                </c:pt>
                <c:pt idx="14">
                  <c:v>246.005</c:v>
                </c:pt>
                <c:pt idx="15">
                  <c:v>246.005</c:v>
                </c:pt>
                <c:pt idx="16">
                  <c:v>196.005</c:v>
                </c:pt>
                <c:pt idx="17">
                  <c:v>396.005</c:v>
                </c:pt>
                <c:pt idx="18">
                  <c:v>310.80500000000001</c:v>
                </c:pt>
                <c:pt idx="19">
                  <c:v>355.80500000000001</c:v>
                </c:pt>
                <c:pt idx="20">
                  <c:v>355.80500000000001</c:v>
                </c:pt>
                <c:pt idx="21">
                  <c:v>355.80500000000001</c:v>
                </c:pt>
                <c:pt idx="22">
                  <c:v>355.80500000000001</c:v>
                </c:pt>
                <c:pt idx="23">
                  <c:v>355.80500000000001</c:v>
                </c:pt>
                <c:pt idx="24">
                  <c:v>355.80500000000001</c:v>
                </c:pt>
              </c:numCache>
            </c:numRef>
          </c:val>
          <c:smooth val="0"/>
        </c:ser>
        <c:dLbls>
          <c:showLegendKey val="0"/>
          <c:showVal val="0"/>
          <c:showCatName val="0"/>
          <c:showSerName val="0"/>
          <c:showPercent val="0"/>
          <c:showBubbleSize val="0"/>
        </c:dLbls>
        <c:marker val="1"/>
        <c:smooth val="0"/>
        <c:axId val="184099968"/>
        <c:axId val="184101504"/>
      </c:lineChart>
      <c:catAx>
        <c:axId val="184099968"/>
        <c:scaling>
          <c:orientation val="minMax"/>
        </c:scaling>
        <c:delete val="0"/>
        <c:axPos val="b"/>
        <c:numFmt formatCode="General" sourceLinked="1"/>
        <c:majorTickMark val="none"/>
        <c:minorTickMark val="none"/>
        <c:tickLblPos val="nextTo"/>
        <c:crossAx val="184101504"/>
        <c:crosses val="autoZero"/>
        <c:auto val="1"/>
        <c:lblAlgn val="ctr"/>
        <c:lblOffset val="100"/>
        <c:tickLblSkip val="2"/>
        <c:noMultiLvlLbl val="0"/>
      </c:catAx>
      <c:valAx>
        <c:axId val="184101504"/>
        <c:scaling>
          <c:orientation val="minMax"/>
        </c:scaling>
        <c:delete val="0"/>
        <c:axPos val="l"/>
        <c:majorGridlines/>
        <c:title>
          <c:tx>
            <c:rich>
              <a:bodyPr rot="-5400000" vert="horz"/>
              <a:lstStyle/>
              <a:p>
                <a:pPr>
                  <a:defRPr/>
                </a:pPr>
                <a:r>
                  <a:rPr lang="es-CL"/>
                  <a:t>kW</a:t>
                </a:r>
              </a:p>
            </c:rich>
          </c:tx>
          <c:layout/>
          <c:overlay val="0"/>
        </c:title>
        <c:numFmt formatCode="General" sourceLinked="1"/>
        <c:majorTickMark val="none"/>
        <c:minorTickMark val="none"/>
        <c:tickLblPos val="nextTo"/>
        <c:crossAx val="184099968"/>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30"/>
    </c:view3D>
    <c:floor>
      <c:thickness val="0"/>
    </c:floor>
    <c:sideWall>
      <c:thickness val="0"/>
    </c:sideWall>
    <c:backWall>
      <c:thickness val="0"/>
    </c:backWall>
    <c:plotArea>
      <c:layout>
        <c:manualLayout>
          <c:layoutTarget val="inner"/>
          <c:xMode val="edge"/>
          <c:yMode val="edge"/>
          <c:x val="4.204427276779082E-4"/>
          <c:y val="2.3399891493034188E-3"/>
          <c:w val="0.79110813978441374"/>
          <c:h val="0.98091010956052704"/>
        </c:manualLayout>
      </c:layout>
      <c:pie3DChart>
        <c:varyColors val="1"/>
        <c:ser>
          <c:idx val="0"/>
          <c:order val="0"/>
          <c:tx>
            <c:strRef>
              <c:f>'Gráficos usos'!$A$1</c:f>
              <c:strCache>
                <c:ptCount val="1"/>
                <c:pt idx="0">
                  <c:v>Usos de electricidad</c:v>
                </c:pt>
              </c:strCache>
            </c:strRef>
          </c:tx>
          <c:dPt>
            <c:idx val="0"/>
            <c:bubble3D val="0"/>
            <c:explosion val="12"/>
          </c:dPt>
          <c:dLbls>
            <c:showLegendKey val="0"/>
            <c:showVal val="0"/>
            <c:showCatName val="0"/>
            <c:showSerName val="0"/>
            <c:showPercent val="1"/>
            <c:showBubbleSize val="0"/>
            <c:showLeaderLines val="1"/>
          </c:dLbls>
          <c:cat>
            <c:strRef>
              <c:f>'Usos Electricidad'!$AI$5:$AI$15</c:f>
              <c:strCache>
                <c:ptCount val="11"/>
                <c:pt idx="0">
                  <c:v>Iluminación</c:v>
                </c:pt>
                <c:pt idx="1">
                  <c:v>Aire Acondicionado </c:v>
                </c:pt>
                <c:pt idx="2">
                  <c:v>Calefacción</c:v>
                </c:pt>
                <c:pt idx="3">
                  <c:v>ACS y lavandería</c:v>
                </c:pt>
                <c:pt idx="4">
                  <c:v>Equipos de oficina</c:v>
                </c:pt>
                <c:pt idx="5">
                  <c:v>Motores, usos en tracción y fuerza</c:v>
                </c:pt>
                <c:pt idx="6">
                  <c:v>Compresores, bombas y ventiladores</c:v>
                </c:pt>
                <c:pt idx="7">
                  <c:v>Refrigeración</c:v>
                </c:pt>
                <c:pt idx="8">
                  <c:v>Hornos industriales y secado</c:v>
                </c:pt>
                <c:pt idx="9">
                  <c:v>Calderas de agua y vapor para procesos</c:v>
                </c:pt>
                <c:pt idx="10">
                  <c:v>Otros</c:v>
                </c:pt>
              </c:strCache>
            </c:strRef>
          </c:cat>
          <c:val>
            <c:numRef>
              <c:f>'Usos Electricidad'!$AJ$5:$AJ$15</c:f>
              <c:numCache>
                <c:formatCode>_(* #,##0.00_);_(* \(#,##0.00\);_(* "-"??_);_(@_)</c:formatCode>
                <c:ptCount val="11"/>
                <c:pt idx="0">
                  <c:v>2089673.2321428573</c:v>
                </c:pt>
                <c:pt idx="1">
                  <c:v>12905.357142857145</c:v>
                </c:pt>
                <c:pt idx="2">
                  <c:v>19188.571428571431</c:v>
                </c:pt>
                <c:pt idx="3">
                  <c:v>0</c:v>
                </c:pt>
                <c:pt idx="4">
                  <c:v>12123.214285714286</c:v>
                </c:pt>
                <c:pt idx="5">
                  <c:v>171093.75</c:v>
                </c:pt>
                <c:pt idx="6">
                  <c:v>242920.53571428571</c:v>
                </c:pt>
                <c:pt idx="7">
                  <c:v>0</c:v>
                </c:pt>
                <c:pt idx="8">
                  <c:v>0</c:v>
                </c:pt>
                <c:pt idx="9">
                  <c:v>0</c:v>
                </c:pt>
                <c:pt idx="10">
                  <c:v>0</c:v>
                </c:pt>
              </c:numCache>
            </c:numRef>
          </c:val>
        </c:ser>
        <c:dLbls>
          <c:showLegendKey val="0"/>
          <c:showVal val="0"/>
          <c:showCatName val="0"/>
          <c:showSerName val="0"/>
          <c:showPercent val="1"/>
          <c:showBubbleSize val="0"/>
          <c:showLeaderLines val="1"/>
        </c:dLbls>
      </c:pie3DChart>
    </c:plotArea>
    <c:legend>
      <c:legendPos val="r"/>
      <c:layout>
        <c:manualLayout>
          <c:xMode val="edge"/>
          <c:yMode val="edge"/>
          <c:x val="2.8540913517885735E-2"/>
          <c:y val="0.76999157150973363"/>
          <c:w val="0.96891480546063813"/>
          <c:h val="0.23000842849026634"/>
        </c:manualLayout>
      </c:layout>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'Curva Electricidad'!$B$42</c:f>
              <c:strCache>
                <c:ptCount val="1"/>
                <c:pt idx="0">
                  <c:v>Perfil 2 Verano</c:v>
                </c:pt>
              </c:strCache>
            </c:strRef>
          </c:tx>
          <c:marker>
            <c:symbol val="none"/>
          </c:marker>
          <c:cat>
            <c:numRef>
              <c:f>'Curva Electricidad'!$C$15:$AA$15</c:f>
              <c:numCache>
                <c:formatCode>General</c:formatCode>
                <c:ptCount val="25"/>
                <c:pt idx="0">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pt idx="16">
                  <c:v>16</c:v>
                </c:pt>
                <c:pt idx="17">
                  <c:v>17</c:v>
                </c:pt>
                <c:pt idx="18">
                  <c:v>18</c:v>
                </c:pt>
                <c:pt idx="19">
                  <c:v>19</c:v>
                </c:pt>
                <c:pt idx="20">
                  <c:v>20</c:v>
                </c:pt>
                <c:pt idx="21">
                  <c:v>21</c:v>
                </c:pt>
                <c:pt idx="22">
                  <c:v>22</c:v>
                </c:pt>
                <c:pt idx="23">
                  <c:v>23</c:v>
                </c:pt>
                <c:pt idx="24">
                  <c:v>24</c:v>
                </c:pt>
              </c:numCache>
            </c:numRef>
          </c:cat>
          <c:val>
            <c:numRef>
              <c:f>'Curva Electricidad'!$C$47:$AA$47</c:f>
              <c:numCache>
                <c:formatCode>General</c:formatCode>
                <c:ptCount val="25"/>
                <c:pt idx="0">
                  <c:v>250.5</c:v>
                </c:pt>
                <c:pt idx="1">
                  <c:v>250.5</c:v>
                </c:pt>
                <c:pt idx="2">
                  <c:v>250.5</c:v>
                </c:pt>
                <c:pt idx="3">
                  <c:v>250.5</c:v>
                </c:pt>
                <c:pt idx="4">
                  <c:v>250.5</c:v>
                </c:pt>
                <c:pt idx="5">
                  <c:v>250.5</c:v>
                </c:pt>
                <c:pt idx="6">
                  <c:v>250.5</c:v>
                </c:pt>
                <c:pt idx="7">
                  <c:v>250.5</c:v>
                </c:pt>
                <c:pt idx="8">
                  <c:v>250.5</c:v>
                </c:pt>
                <c:pt idx="9">
                  <c:v>196.36</c:v>
                </c:pt>
                <c:pt idx="10">
                  <c:v>146.36000000000001</c:v>
                </c:pt>
                <c:pt idx="11">
                  <c:v>396.36</c:v>
                </c:pt>
                <c:pt idx="12">
                  <c:v>446.36</c:v>
                </c:pt>
                <c:pt idx="13">
                  <c:v>446.36</c:v>
                </c:pt>
                <c:pt idx="14">
                  <c:v>350.5</c:v>
                </c:pt>
                <c:pt idx="15">
                  <c:v>350.5</c:v>
                </c:pt>
                <c:pt idx="16">
                  <c:v>100.5</c:v>
                </c:pt>
                <c:pt idx="17">
                  <c:v>250.5</c:v>
                </c:pt>
                <c:pt idx="18">
                  <c:v>250.5</c:v>
                </c:pt>
                <c:pt idx="19">
                  <c:v>250.5</c:v>
                </c:pt>
                <c:pt idx="20">
                  <c:v>250.5</c:v>
                </c:pt>
                <c:pt idx="21">
                  <c:v>250.5</c:v>
                </c:pt>
                <c:pt idx="22">
                  <c:v>250.5</c:v>
                </c:pt>
                <c:pt idx="23">
                  <c:v>250.5</c:v>
                </c:pt>
                <c:pt idx="24">
                  <c:v>250.5</c:v>
                </c:pt>
              </c:numCache>
            </c:numRef>
          </c:val>
          <c:smooth val="0"/>
        </c:ser>
        <c:ser>
          <c:idx val="1"/>
          <c:order val="1"/>
          <c:tx>
            <c:strRef>
              <c:f>'Curva Electricidad'!$B$49</c:f>
              <c:strCache>
                <c:ptCount val="1"/>
                <c:pt idx="0">
                  <c:v>Perfil 2 Otoño</c:v>
                </c:pt>
              </c:strCache>
            </c:strRef>
          </c:tx>
          <c:marker>
            <c:symbol val="none"/>
          </c:marker>
          <c:val>
            <c:numRef>
              <c:f>'Curva Electricidad'!$C$54:$AA$54</c:f>
              <c:numCache>
                <c:formatCode>General</c:formatCode>
                <c:ptCount val="25"/>
                <c:pt idx="0">
                  <c:v>300.5</c:v>
                </c:pt>
                <c:pt idx="1">
                  <c:v>300.5</c:v>
                </c:pt>
                <c:pt idx="2">
                  <c:v>300.5</c:v>
                </c:pt>
                <c:pt idx="3">
                  <c:v>300.5</c:v>
                </c:pt>
                <c:pt idx="4">
                  <c:v>300.5</c:v>
                </c:pt>
                <c:pt idx="5">
                  <c:v>300.5</c:v>
                </c:pt>
                <c:pt idx="6">
                  <c:v>300.5</c:v>
                </c:pt>
                <c:pt idx="7">
                  <c:v>300.5</c:v>
                </c:pt>
                <c:pt idx="8">
                  <c:v>300.5</c:v>
                </c:pt>
                <c:pt idx="9">
                  <c:v>188.005</c:v>
                </c:pt>
                <c:pt idx="10">
                  <c:v>143.005</c:v>
                </c:pt>
                <c:pt idx="11">
                  <c:v>226.005</c:v>
                </c:pt>
                <c:pt idx="12">
                  <c:v>271.005</c:v>
                </c:pt>
                <c:pt idx="13">
                  <c:v>271.005</c:v>
                </c:pt>
                <c:pt idx="14">
                  <c:v>175.5</c:v>
                </c:pt>
                <c:pt idx="15">
                  <c:v>175.5</c:v>
                </c:pt>
                <c:pt idx="16">
                  <c:v>100.5</c:v>
                </c:pt>
                <c:pt idx="17">
                  <c:v>300.5</c:v>
                </c:pt>
                <c:pt idx="18">
                  <c:v>300.5</c:v>
                </c:pt>
                <c:pt idx="19">
                  <c:v>300.5</c:v>
                </c:pt>
                <c:pt idx="20">
                  <c:v>300.5</c:v>
                </c:pt>
                <c:pt idx="21">
                  <c:v>300.5</c:v>
                </c:pt>
                <c:pt idx="22">
                  <c:v>300.5</c:v>
                </c:pt>
                <c:pt idx="23">
                  <c:v>300.5</c:v>
                </c:pt>
                <c:pt idx="24">
                  <c:v>300.5</c:v>
                </c:pt>
              </c:numCache>
            </c:numRef>
          </c:val>
          <c:smooth val="0"/>
        </c:ser>
        <c:ser>
          <c:idx val="2"/>
          <c:order val="2"/>
          <c:tx>
            <c:strRef>
              <c:f>'Curva Electricidad'!$B$56</c:f>
              <c:strCache>
                <c:ptCount val="1"/>
                <c:pt idx="0">
                  <c:v>Perfil 2 Invierno</c:v>
                </c:pt>
              </c:strCache>
            </c:strRef>
          </c:tx>
          <c:marker>
            <c:symbol val="none"/>
          </c:marker>
          <c:val>
            <c:numRef>
              <c:f>'Curva Electricidad'!$C$61:$AA$61</c:f>
              <c:numCache>
                <c:formatCode>General</c:formatCode>
                <c:ptCount val="25"/>
                <c:pt idx="0">
                  <c:v>350.5</c:v>
                </c:pt>
                <c:pt idx="1">
                  <c:v>350.5</c:v>
                </c:pt>
                <c:pt idx="2">
                  <c:v>350.5</c:v>
                </c:pt>
                <c:pt idx="3">
                  <c:v>350.5</c:v>
                </c:pt>
                <c:pt idx="4">
                  <c:v>350.5</c:v>
                </c:pt>
                <c:pt idx="5">
                  <c:v>350.5</c:v>
                </c:pt>
                <c:pt idx="6">
                  <c:v>350.5</c:v>
                </c:pt>
                <c:pt idx="7">
                  <c:v>350.5</c:v>
                </c:pt>
                <c:pt idx="8">
                  <c:v>350.5</c:v>
                </c:pt>
                <c:pt idx="9">
                  <c:v>184.65</c:v>
                </c:pt>
                <c:pt idx="10">
                  <c:v>139.65</c:v>
                </c:pt>
                <c:pt idx="11">
                  <c:v>155.65</c:v>
                </c:pt>
                <c:pt idx="12">
                  <c:v>200.65</c:v>
                </c:pt>
                <c:pt idx="13">
                  <c:v>200.65</c:v>
                </c:pt>
                <c:pt idx="14">
                  <c:v>100.5</c:v>
                </c:pt>
                <c:pt idx="15">
                  <c:v>100.5</c:v>
                </c:pt>
                <c:pt idx="16">
                  <c:v>100.5</c:v>
                </c:pt>
                <c:pt idx="17">
                  <c:v>350.5</c:v>
                </c:pt>
                <c:pt idx="18">
                  <c:v>350.5</c:v>
                </c:pt>
                <c:pt idx="19">
                  <c:v>350.5</c:v>
                </c:pt>
                <c:pt idx="20">
                  <c:v>350.5</c:v>
                </c:pt>
                <c:pt idx="21">
                  <c:v>350.5</c:v>
                </c:pt>
                <c:pt idx="22">
                  <c:v>350.5</c:v>
                </c:pt>
                <c:pt idx="23">
                  <c:v>350.5</c:v>
                </c:pt>
                <c:pt idx="24">
                  <c:v>350.5</c:v>
                </c:pt>
              </c:numCache>
            </c:numRef>
          </c:val>
          <c:smooth val="0"/>
        </c:ser>
        <c:ser>
          <c:idx val="3"/>
          <c:order val="3"/>
          <c:tx>
            <c:strRef>
              <c:f>'Curva Electricidad'!$B$63</c:f>
              <c:strCache>
                <c:ptCount val="1"/>
                <c:pt idx="0">
                  <c:v>Perfil 2 Primavera</c:v>
                </c:pt>
              </c:strCache>
            </c:strRef>
          </c:tx>
          <c:marker>
            <c:symbol val="none"/>
          </c:marker>
          <c:val>
            <c:numRef>
              <c:f>'Curva Electricidad'!$C$68:$AA$68</c:f>
              <c:numCache>
                <c:formatCode>General</c:formatCode>
                <c:ptCount val="25"/>
                <c:pt idx="0">
                  <c:v>300.5</c:v>
                </c:pt>
                <c:pt idx="1">
                  <c:v>300.5</c:v>
                </c:pt>
                <c:pt idx="2">
                  <c:v>300.5</c:v>
                </c:pt>
                <c:pt idx="3">
                  <c:v>300.5</c:v>
                </c:pt>
                <c:pt idx="4">
                  <c:v>300.5</c:v>
                </c:pt>
                <c:pt idx="5">
                  <c:v>300.5</c:v>
                </c:pt>
                <c:pt idx="6">
                  <c:v>300.5</c:v>
                </c:pt>
                <c:pt idx="7">
                  <c:v>300.5</c:v>
                </c:pt>
                <c:pt idx="8">
                  <c:v>300.5</c:v>
                </c:pt>
                <c:pt idx="9">
                  <c:v>188.005</c:v>
                </c:pt>
                <c:pt idx="10">
                  <c:v>143.005</c:v>
                </c:pt>
                <c:pt idx="11">
                  <c:v>201.005</c:v>
                </c:pt>
                <c:pt idx="12">
                  <c:v>246.005</c:v>
                </c:pt>
                <c:pt idx="13">
                  <c:v>246.005</c:v>
                </c:pt>
                <c:pt idx="14">
                  <c:v>150.5</c:v>
                </c:pt>
                <c:pt idx="15">
                  <c:v>150.5</c:v>
                </c:pt>
                <c:pt idx="16">
                  <c:v>100.5</c:v>
                </c:pt>
                <c:pt idx="17">
                  <c:v>300.5</c:v>
                </c:pt>
                <c:pt idx="18">
                  <c:v>300.5</c:v>
                </c:pt>
                <c:pt idx="19">
                  <c:v>300.5</c:v>
                </c:pt>
                <c:pt idx="20">
                  <c:v>300.5</c:v>
                </c:pt>
                <c:pt idx="21">
                  <c:v>300.5</c:v>
                </c:pt>
                <c:pt idx="22">
                  <c:v>300.5</c:v>
                </c:pt>
                <c:pt idx="23">
                  <c:v>300.5</c:v>
                </c:pt>
                <c:pt idx="24">
                  <c:v>300.5</c:v>
                </c:pt>
              </c:numCache>
            </c:numRef>
          </c:val>
          <c:smooth val="0"/>
        </c:ser>
        <c:dLbls>
          <c:showLegendKey val="0"/>
          <c:showVal val="0"/>
          <c:showCatName val="0"/>
          <c:showSerName val="0"/>
          <c:showPercent val="0"/>
          <c:showBubbleSize val="0"/>
        </c:dLbls>
        <c:marker val="1"/>
        <c:smooth val="0"/>
        <c:axId val="184578816"/>
        <c:axId val="184580352"/>
      </c:lineChart>
      <c:catAx>
        <c:axId val="184578816"/>
        <c:scaling>
          <c:orientation val="minMax"/>
        </c:scaling>
        <c:delete val="0"/>
        <c:axPos val="b"/>
        <c:numFmt formatCode="General" sourceLinked="1"/>
        <c:majorTickMark val="none"/>
        <c:minorTickMark val="none"/>
        <c:tickLblPos val="nextTo"/>
        <c:crossAx val="184580352"/>
        <c:crosses val="autoZero"/>
        <c:auto val="1"/>
        <c:lblAlgn val="ctr"/>
        <c:lblOffset val="100"/>
        <c:tickLblSkip val="2"/>
        <c:noMultiLvlLbl val="0"/>
      </c:catAx>
      <c:valAx>
        <c:axId val="184580352"/>
        <c:scaling>
          <c:orientation val="minMax"/>
        </c:scaling>
        <c:delete val="0"/>
        <c:axPos val="l"/>
        <c:majorGridlines/>
        <c:title>
          <c:tx>
            <c:rich>
              <a:bodyPr rot="-5400000" vert="horz"/>
              <a:lstStyle/>
              <a:p>
                <a:pPr>
                  <a:defRPr/>
                </a:pPr>
                <a:r>
                  <a:rPr lang="es-CL"/>
                  <a:t>kW</a:t>
                </a:r>
              </a:p>
            </c:rich>
          </c:tx>
          <c:layout/>
          <c:overlay val="0"/>
        </c:title>
        <c:numFmt formatCode="General" sourceLinked="1"/>
        <c:majorTickMark val="none"/>
        <c:minorTickMark val="none"/>
        <c:tickLblPos val="nextTo"/>
        <c:crossAx val="184578816"/>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0892868679877836E-2"/>
          <c:y val="8.8659426553716711E-2"/>
          <c:w val="0.84833609610736505"/>
          <c:h val="0.65290123165742009"/>
        </c:manualLayout>
      </c:layout>
      <c:barChart>
        <c:barDir val="col"/>
        <c:grouping val="clustered"/>
        <c:varyColors val="0"/>
        <c:ser>
          <c:idx val="0"/>
          <c:order val="0"/>
          <c:tx>
            <c:strRef>
              <c:f>'Resumen usos'!$B$61</c:f>
              <c:strCache>
                <c:ptCount val="1"/>
                <c:pt idx="0">
                  <c:v>Consumo [kWh]</c:v>
                </c:pt>
              </c:strCache>
            </c:strRef>
          </c:tx>
          <c:invertIfNegative val="0"/>
          <c:cat>
            <c:strRef>
              <c:f>'Resumen usos'!$C$62:$C$81</c:f>
              <c:strCache>
                <c:ptCount val="10"/>
                <c:pt idx="0">
                  <c:v>Proyectores galpón exterior</c:v>
                </c:pt>
                <c:pt idx="1">
                  <c:v>Proyectores galpón interior</c:v>
                </c:pt>
                <c:pt idx="2">
                  <c:v>Camión tipo 1</c:v>
                </c:pt>
                <c:pt idx="3">
                  <c:v>Ventiladores</c:v>
                </c:pt>
                <c:pt idx="4">
                  <c:v>prueba 1</c:v>
                </c:pt>
                <c:pt idx="5">
                  <c:v>Camión tipo 2</c:v>
                </c:pt>
                <c:pt idx="6">
                  <c:v>Compresores</c:v>
                </c:pt>
                <c:pt idx="7">
                  <c:v>Vapor GN</c:v>
                </c:pt>
                <c:pt idx="8">
                  <c:v>Vapor Diesel</c:v>
                </c:pt>
                <c:pt idx="9">
                  <c:v>Otros</c:v>
                </c:pt>
              </c:strCache>
            </c:strRef>
          </c:cat>
          <c:val>
            <c:numRef>
              <c:f>[0]!Consumo</c:f>
              <c:numCache>
                <c:formatCode>_-* #,##0.0_-;\-* #,##0.0_-;_-* "-"??_-;_-@_-</c:formatCode>
                <c:ptCount val="10"/>
                <c:pt idx="0">
                  <c:v>1168000</c:v>
                </c:pt>
                <c:pt idx="1">
                  <c:v>876000</c:v>
                </c:pt>
                <c:pt idx="2">
                  <c:v>351120</c:v>
                </c:pt>
                <c:pt idx="3">
                  <c:v>171224.10714285713</c:v>
                </c:pt>
                <c:pt idx="4">
                  <c:v>171093.75</c:v>
                </c:pt>
                <c:pt idx="5">
                  <c:v>74480</c:v>
                </c:pt>
                <c:pt idx="6">
                  <c:v>71696.42857142858</c:v>
                </c:pt>
                <c:pt idx="7">
                  <c:v>32580</c:v>
                </c:pt>
                <c:pt idx="8">
                  <c:v>31920</c:v>
                </c:pt>
                <c:pt idx="9">
                  <c:v>153242.35289554112</c:v>
                </c:pt>
              </c:numCache>
            </c:numRef>
          </c:val>
        </c:ser>
        <c:dLbls>
          <c:showLegendKey val="0"/>
          <c:showVal val="0"/>
          <c:showCatName val="0"/>
          <c:showSerName val="0"/>
          <c:showPercent val="0"/>
          <c:showBubbleSize val="0"/>
        </c:dLbls>
        <c:gapWidth val="150"/>
        <c:axId val="184681600"/>
        <c:axId val="184683136"/>
      </c:barChart>
      <c:lineChart>
        <c:grouping val="standard"/>
        <c:varyColors val="0"/>
        <c:ser>
          <c:idx val="1"/>
          <c:order val="1"/>
          <c:tx>
            <c:strRef>
              <c:f>'Resumen usos'!$E$61</c:f>
              <c:strCache>
                <c:ptCount val="1"/>
                <c:pt idx="0">
                  <c:v>% de consumo agregado</c:v>
                </c:pt>
              </c:strCache>
            </c:strRef>
          </c:tx>
          <c:marker>
            <c:symbol val="none"/>
          </c:marker>
          <c:cat>
            <c:strRef>
              <c:f>'Resumen usos'!$C$62:$C$81</c:f>
              <c:strCache>
                <c:ptCount val="10"/>
                <c:pt idx="0">
                  <c:v>Proyectores galpón exterior</c:v>
                </c:pt>
                <c:pt idx="1">
                  <c:v>Proyectores galpón interior</c:v>
                </c:pt>
                <c:pt idx="2">
                  <c:v>Camión tipo 1</c:v>
                </c:pt>
                <c:pt idx="3">
                  <c:v>Ventiladores</c:v>
                </c:pt>
                <c:pt idx="4">
                  <c:v>prueba 1</c:v>
                </c:pt>
                <c:pt idx="5">
                  <c:v>Camión tipo 2</c:v>
                </c:pt>
                <c:pt idx="6">
                  <c:v>Compresores</c:v>
                </c:pt>
                <c:pt idx="7">
                  <c:v>Vapor GN</c:v>
                </c:pt>
                <c:pt idx="8">
                  <c:v>Vapor Diesel</c:v>
                </c:pt>
                <c:pt idx="9">
                  <c:v>Otros</c:v>
                </c:pt>
              </c:strCache>
            </c:strRef>
          </c:cat>
          <c:val>
            <c:numRef>
              <c:f>[0]!Consumo_Agregado</c:f>
              <c:numCache>
                <c:formatCode>0.0%</c:formatCode>
                <c:ptCount val="10"/>
                <c:pt idx="0">
                  <c:v>0.37660937973375169</c:v>
                </c:pt>
                <c:pt idx="1">
                  <c:v>0.65906641453406545</c:v>
                </c:pt>
                <c:pt idx="2">
                  <c:v>0.77228138492115006</c:v>
                </c:pt>
                <c:pt idx="3">
                  <c:v>0.82749080682743159</c:v>
                </c:pt>
                <c:pt idx="4">
                  <c:v>0.88265819643686783</c:v>
                </c:pt>
                <c:pt idx="5">
                  <c:v>0.90667349318564339</c:v>
                </c:pt>
                <c:pt idx="6">
                  <c:v>0.92979125645055005</c:v>
                </c:pt>
                <c:pt idx="7">
                  <c:v>0.94029633658045209</c:v>
                </c:pt>
                <c:pt idx="8">
                  <c:v>0.9505886066156416</c:v>
                </c:pt>
                <c:pt idx="9">
                  <c:v>0.99999999999999978</c:v>
                </c:pt>
              </c:numCache>
            </c:numRef>
          </c:val>
          <c:smooth val="0"/>
        </c:ser>
        <c:ser>
          <c:idx val="2"/>
          <c:order val="2"/>
          <c:tx>
            <c:v>80%</c:v>
          </c:tx>
          <c:spPr>
            <a:ln w="19050">
              <a:prstDash val="sysDot"/>
            </a:ln>
          </c:spPr>
          <c:marker>
            <c:symbol val="none"/>
          </c:marker>
          <c:cat>
            <c:strRef>
              <c:f>'Resumen usos'!$C$62:$C$81</c:f>
              <c:strCache>
                <c:ptCount val="10"/>
                <c:pt idx="0">
                  <c:v>Proyectores galpón exterior</c:v>
                </c:pt>
                <c:pt idx="1">
                  <c:v>Proyectores galpón interior</c:v>
                </c:pt>
                <c:pt idx="2">
                  <c:v>Camión tipo 1</c:v>
                </c:pt>
                <c:pt idx="3">
                  <c:v>Ventiladores</c:v>
                </c:pt>
                <c:pt idx="4">
                  <c:v>prueba 1</c:v>
                </c:pt>
                <c:pt idx="5">
                  <c:v>Camión tipo 2</c:v>
                </c:pt>
                <c:pt idx="6">
                  <c:v>Compresores</c:v>
                </c:pt>
                <c:pt idx="7">
                  <c:v>Vapor GN</c:v>
                </c:pt>
                <c:pt idx="8">
                  <c:v>Vapor Diesel</c:v>
                </c:pt>
                <c:pt idx="9">
                  <c:v>Otros</c:v>
                </c:pt>
              </c:strCache>
            </c:strRef>
          </c:cat>
          <c:val>
            <c:numRef>
              <c:f>[0]!Referencia80Consumo</c:f>
              <c:numCache>
                <c:formatCode>0%</c:formatCode>
                <c:ptCount val="10"/>
                <c:pt idx="0">
                  <c:v>0.8</c:v>
                </c:pt>
                <c:pt idx="1">
                  <c:v>0.8</c:v>
                </c:pt>
                <c:pt idx="2">
                  <c:v>0.8</c:v>
                </c:pt>
                <c:pt idx="3">
                  <c:v>0.8</c:v>
                </c:pt>
                <c:pt idx="4">
                  <c:v>0.8</c:v>
                </c:pt>
                <c:pt idx="5">
                  <c:v>0.8</c:v>
                </c:pt>
                <c:pt idx="6">
                  <c:v>0.8</c:v>
                </c:pt>
                <c:pt idx="7">
                  <c:v>0.8</c:v>
                </c:pt>
                <c:pt idx="8">
                  <c:v>0.8</c:v>
                </c:pt>
                <c:pt idx="9">
                  <c:v>0.8</c:v>
                </c:pt>
              </c:numCache>
            </c:numRef>
          </c:val>
          <c:smooth val="0"/>
        </c:ser>
        <c:dLbls>
          <c:showLegendKey val="0"/>
          <c:showVal val="0"/>
          <c:showCatName val="0"/>
          <c:showSerName val="0"/>
          <c:showPercent val="0"/>
          <c:showBubbleSize val="0"/>
        </c:dLbls>
        <c:marker val="1"/>
        <c:smooth val="0"/>
        <c:axId val="184695040"/>
        <c:axId val="184693504"/>
      </c:lineChart>
      <c:catAx>
        <c:axId val="184681600"/>
        <c:scaling>
          <c:orientation val="minMax"/>
        </c:scaling>
        <c:delete val="0"/>
        <c:axPos val="b"/>
        <c:majorTickMark val="out"/>
        <c:minorTickMark val="none"/>
        <c:tickLblPos val="nextTo"/>
        <c:txPr>
          <a:bodyPr rot="-2700000" vert="horz"/>
          <a:lstStyle/>
          <a:p>
            <a:pPr>
              <a:defRPr/>
            </a:pPr>
            <a:endParaRPr lang="es-CL"/>
          </a:p>
        </c:txPr>
        <c:crossAx val="184683136"/>
        <c:crosses val="autoZero"/>
        <c:auto val="0"/>
        <c:lblAlgn val="ctr"/>
        <c:lblOffset val="100"/>
        <c:noMultiLvlLbl val="0"/>
      </c:catAx>
      <c:valAx>
        <c:axId val="184683136"/>
        <c:scaling>
          <c:orientation val="minMax"/>
        </c:scaling>
        <c:delete val="0"/>
        <c:axPos val="l"/>
        <c:majorGridlines/>
        <c:title>
          <c:tx>
            <c:rich>
              <a:bodyPr rot="-5400000" vert="horz"/>
              <a:lstStyle/>
              <a:p>
                <a:pPr>
                  <a:defRPr/>
                </a:pPr>
                <a:r>
                  <a:rPr lang="en-US"/>
                  <a:t>kWh</a:t>
                </a:r>
              </a:p>
            </c:rich>
          </c:tx>
          <c:layout/>
          <c:overlay val="0"/>
        </c:title>
        <c:numFmt formatCode="#,##0" sourceLinked="0"/>
        <c:majorTickMark val="out"/>
        <c:minorTickMark val="none"/>
        <c:tickLblPos val="nextTo"/>
        <c:crossAx val="184681600"/>
        <c:crosses val="autoZero"/>
        <c:crossBetween val="between"/>
      </c:valAx>
      <c:valAx>
        <c:axId val="184693504"/>
        <c:scaling>
          <c:orientation val="minMax"/>
          <c:max val="1"/>
        </c:scaling>
        <c:delete val="0"/>
        <c:axPos val="r"/>
        <c:numFmt formatCode="0%" sourceLinked="0"/>
        <c:majorTickMark val="out"/>
        <c:minorTickMark val="none"/>
        <c:tickLblPos val="nextTo"/>
        <c:crossAx val="184695040"/>
        <c:crosses val="max"/>
        <c:crossBetween val="between"/>
        <c:majorUnit val="0.2"/>
        <c:minorUnit val="0.2"/>
      </c:valAx>
      <c:catAx>
        <c:axId val="184695040"/>
        <c:scaling>
          <c:orientation val="minMax"/>
        </c:scaling>
        <c:delete val="1"/>
        <c:axPos val="b"/>
        <c:majorTickMark val="out"/>
        <c:minorTickMark val="none"/>
        <c:tickLblPos val="nextTo"/>
        <c:crossAx val="184693504"/>
        <c:crosses val="autoZero"/>
        <c:auto val="1"/>
        <c:lblAlgn val="ctr"/>
        <c:lblOffset val="100"/>
        <c:noMultiLvlLbl val="0"/>
      </c:catAx>
    </c:plotArea>
    <c:legend>
      <c:legendPos val="r"/>
      <c:layout>
        <c:manualLayout>
          <c:xMode val="edge"/>
          <c:yMode val="edge"/>
          <c:x val="0.20051876134500041"/>
          <c:y val="3.80970342779009E-3"/>
          <c:w val="0.57815892160654503"/>
          <c:h val="6.6902206086514635E-2"/>
        </c:manualLayout>
      </c:layout>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34620936487468"/>
          <c:y val="8.8659426553716711E-2"/>
          <c:w val="0.83288122962767608"/>
          <c:h val="0.65290123165742009"/>
        </c:manualLayout>
      </c:layout>
      <c:barChart>
        <c:barDir val="col"/>
        <c:grouping val="clustered"/>
        <c:varyColors val="0"/>
        <c:ser>
          <c:idx val="0"/>
          <c:order val="0"/>
          <c:tx>
            <c:strRef>
              <c:f>'Resumen usos'!$G$61</c:f>
              <c:strCache>
                <c:ptCount val="1"/>
                <c:pt idx="0">
                  <c:v>Costo [$]</c:v>
                </c:pt>
              </c:strCache>
            </c:strRef>
          </c:tx>
          <c:invertIfNegative val="0"/>
          <c:cat>
            <c:strRef>
              <c:f>'Resumen usos'!$H$62:$H$81</c:f>
              <c:strCache>
                <c:ptCount val="11"/>
                <c:pt idx="0">
                  <c:v>Proyectores galpón exterior</c:v>
                </c:pt>
                <c:pt idx="1">
                  <c:v>Proyectores galpón interior</c:v>
                </c:pt>
                <c:pt idx="2">
                  <c:v>Camión tipo 1</c:v>
                </c:pt>
                <c:pt idx="3">
                  <c:v>Ventiladores</c:v>
                </c:pt>
                <c:pt idx="4">
                  <c:v>prueba 1</c:v>
                </c:pt>
                <c:pt idx="5">
                  <c:v>Compresores</c:v>
                </c:pt>
                <c:pt idx="6">
                  <c:v>Camión tipo 2</c:v>
                </c:pt>
                <c:pt idx="7">
                  <c:v>Vapor GN</c:v>
                </c:pt>
                <c:pt idx="8">
                  <c:v>Luminarias oficina 1 tipo 1</c:v>
                </c:pt>
                <c:pt idx="9">
                  <c:v>Vapor GL</c:v>
                </c:pt>
                <c:pt idx="10">
                  <c:v>Otros</c:v>
                </c:pt>
              </c:strCache>
            </c:strRef>
          </c:cat>
          <c:val>
            <c:numRef>
              <c:f>[0]!Costo</c:f>
              <c:numCache>
                <c:formatCode>_-"$"\ * #,##0_-;\-"$"\ * #,##0_-;_-"$"\ * "-"??_-;_-@_-</c:formatCode>
                <c:ptCount val="11"/>
                <c:pt idx="0">
                  <c:v>100128835.48214002</c:v>
                </c:pt>
                <c:pt idx="1">
                  <c:v>75096626.611605018</c:v>
                </c:pt>
                <c:pt idx="2">
                  <c:v>21450000</c:v>
                </c:pt>
                <c:pt idx="3">
                  <c:v>14678484.978324877</c:v>
                </c:pt>
                <c:pt idx="4">
                  <c:v>14667309.885079104</c:v>
                </c:pt>
                <c:pt idx="5">
                  <c:v>6146301.2851760061</c:v>
                </c:pt>
                <c:pt idx="6">
                  <c:v>4550000</c:v>
                </c:pt>
                <c:pt idx="7">
                  <c:v>3991617.4388250033</c:v>
                </c:pt>
                <c:pt idx="8">
                  <c:v>2051747.1199242086</c:v>
                </c:pt>
                <c:pt idx="9">
                  <c:v>2013000</c:v>
                </c:pt>
                <c:pt idx="10">
                  <c:v>11326266.77885738</c:v>
                </c:pt>
              </c:numCache>
            </c:numRef>
          </c:val>
        </c:ser>
        <c:dLbls>
          <c:showLegendKey val="0"/>
          <c:showVal val="0"/>
          <c:showCatName val="0"/>
          <c:showSerName val="0"/>
          <c:showPercent val="0"/>
          <c:showBubbleSize val="0"/>
        </c:dLbls>
        <c:gapWidth val="150"/>
        <c:axId val="184726272"/>
        <c:axId val="184727808"/>
      </c:barChart>
      <c:lineChart>
        <c:grouping val="standard"/>
        <c:varyColors val="0"/>
        <c:ser>
          <c:idx val="1"/>
          <c:order val="1"/>
          <c:tx>
            <c:strRef>
              <c:f>'Resumen usos'!$J$61</c:f>
              <c:strCache>
                <c:ptCount val="1"/>
                <c:pt idx="0">
                  <c:v>% de costo agregado</c:v>
                </c:pt>
              </c:strCache>
            </c:strRef>
          </c:tx>
          <c:marker>
            <c:symbol val="none"/>
          </c:marker>
          <c:cat>
            <c:strRef>
              <c:f>'Resumen usos'!$H$62:$H$81</c:f>
              <c:strCache>
                <c:ptCount val="11"/>
                <c:pt idx="0">
                  <c:v>Proyectores galpón exterior</c:v>
                </c:pt>
                <c:pt idx="1">
                  <c:v>Proyectores galpón interior</c:v>
                </c:pt>
                <c:pt idx="2">
                  <c:v>Camión tipo 1</c:v>
                </c:pt>
                <c:pt idx="3">
                  <c:v>Ventiladores</c:v>
                </c:pt>
                <c:pt idx="4">
                  <c:v>prueba 1</c:v>
                </c:pt>
                <c:pt idx="5">
                  <c:v>Compresores</c:v>
                </c:pt>
                <c:pt idx="6">
                  <c:v>Camión tipo 2</c:v>
                </c:pt>
                <c:pt idx="7">
                  <c:v>Vapor GN</c:v>
                </c:pt>
                <c:pt idx="8">
                  <c:v>Luminarias oficina 1 tipo 1</c:v>
                </c:pt>
                <c:pt idx="9">
                  <c:v>Vapor GL</c:v>
                </c:pt>
                <c:pt idx="10">
                  <c:v>Otros</c:v>
                </c:pt>
              </c:strCache>
            </c:strRef>
          </c:cat>
          <c:val>
            <c:numRef>
              <c:f>[0]!Costo_Agregado</c:f>
              <c:numCache>
                <c:formatCode>0.0%</c:formatCode>
                <c:ptCount val="11"/>
                <c:pt idx="0">
                  <c:v>0.39097524935993344</c:v>
                </c:pt>
                <c:pt idx="1">
                  <c:v>0.68420668637988347</c:v>
                </c:pt>
                <c:pt idx="2">
                  <c:v>0.76796296955633625</c:v>
                </c:pt>
                <c:pt idx="3">
                  <c:v>0.82527837022980421</c:v>
                </c:pt>
                <c:pt idx="4">
                  <c:v>0.88255013527276316</c:v>
                </c:pt>
                <c:pt idx="5">
                  <c:v>0.90654973205266975</c:v>
                </c:pt>
                <c:pt idx="6">
                  <c:v>0.92431621636282646</c:v>
                </c:pt>
                <c:pt idx="7">
                  <c:v>0.9399023720988775</c:v>
                </c:pt>
                <c:pt idx="8">
                  <c:v>0.94791387386031545</c:v>
                </c:pt>
                <c:pt idx="9">
                  <c:v>0.95577407889687482</c:v>
                </c:pt>
                <c:pt idx="10">
                  <c:v>0.99999999999999967</c:v>
                </c:pt>
              </c:numCache>
            </c:numRef>
          </c:val>
          <c:smooth val="0"/>
        </c:ser>
        <c:ser>
          <c:idx val="2"/>
          <c:order val="2"/>
          <c:tx>
            <c:v>80%</c:v>
          </c:tx>
          <c:spPr>
            <a:ln w="19050">
              <a:prstDash val="sysDot"/>
            </a:ln>
          </c:spPr>
          <c:marker>
            <c:symbol val="none"/>
          </c:marker>
          <c:cat>
            <c:strRef>
              <c:f>'Resumen usos'!$H$62:$H$81</c:f>
              <c:strCache>
                <c:ptCount val="11"/>
                <c:pt idx="0">
                  <c:v>Proyectores galpón exterior</c:v>
                </c:pt>
                <c:pt idx="1">
                  <c:v>Proyectores galpón interior</c:v>
                </c:pt>
                <c:pt idx="2">
                  <c:v>Camión tipo 1</c:v>
                </c:pt>
                <c:pt idx="3">
                  <c:v>Ventiladores</c:v>
                </c:pt>
                <c:pt idx="4">
                  <c:v>prueba 1</c:v>
                </c:pt>
                <c:pt idx="5">
                  <c:v>Compresores</c:v>
                </c:pt>
                <c:pt idx="6">
                  <c:v>Camión tipo 2</c:v>
                </c:pt>
                <c:pt idx="7">
                  <c:v>Vapor GN</c:v>
                </c:pt>
                <c:pt idx="8">
                  <c:v>Luminarias oficina 1 tipo 1</c:v>
                </c:pt>
                <c:pt idx="9">
                  <c:v>Vapor GL</c:v>
                </c:pt>
                <c:pt idx="10">
                  <c:v>Otros</c:v>
                </c:pt>
              </c:strCache>
            </c:strRef>
          </c:cat>
          <c:val>
            <c:numRef>
              <c:f>[0]!Referencia80Costo</c:f>
              <c:numCache>
                <c:formatCode>0%</c:formatCode>
                <c:ptCount val="11"/>
                <c:pt idx="0">
                  <c:v>0.8</c:v>
                </c:pt>
                <c:pt idx="1">
                  <c:v>0.8</c:v>
                </c:pt>
                <c:pt idx="2">
                  <c:v>0.8</c:v>
                </c:pt>
                <c:pt idx="3">
                  <c:v>0.8</c:v>
                </c:pt>
                <c:pt idx="4">
                  <c:v>0.8</c:v>
                </c:pt>
                <c:pt idx="5">
                  <c:v>0.8</c:v>
                </c:pt>
                <c:pt idx="6">
                  <c:v>0.8</c:v>
                </c:pt>
                <c:pt idx="7">
                  <c:v>0.8</c:v>
                </c:pt>
                <c:pt idx="8">
                  <c:v>0.8</c:v>
                </c:pt>
                <c:pt idx="9">
                  <c:v>0.8</c:v>
                </c:pt>
                <c:pt idx="10">
                  <c:v>0.8</c:v>
                </c:pt>
              </c:numCache>
            </c:numRef>
          </c:val>
          <c:smooth val="0"/>
        </c:ser>
        <c:dLbls>
          <c:showLegendKey val="0"/>
          <c:showVal val="0"/>
          <c:showCatName val="0"/>
          <c:showSerName val="0"/>
          <c:showPercent val="0"/>
          <c:showBubbleSize val="0"/>
        </c:dLbls>
        <c:marker val="1"/>
        <c:smooth val="0"/>
        <c:axId val="184735616"/>
        <c:axId val="184734080"/>
      </c:lineChart>
      <c:catAx>
        <c:axId val="184726272"/>
        <c:scaling>
          <c:orientation val="minMax"/>
        </c:scaling>
        <c:delete val="0"/>
        <c:axPos val="b"/>
        <c:majorTickMark val="out"/>
        <c:minorTickMark val="none"/>
        <c:tickLblPos val="nextTo"/>
        <c:txPr>
          <a:bodyPr rot="-2700000" vert="horz"/>
          <a:lstStyle/>
          <a:p>
            <a:pPr>
              <a:defRPr/>
            </a:pPr>
            <a:endParaRPr lang="es-CL"/>
          </a:p>
        </c:txPr>
        <c:crossAx val="184727808"/>
        <c:crosses val="autoZero"/>
        <c:auto val="0"/>
        <c:lblAlgn val="ctr"/>
        <c:lblOffset val="100"/>
        <c:noMultiLvlLbl val="0"/>
      </c:catAx>
      <c:valAx>
        <c:axId val="184727808"/>
        <c:scaling>
          <c:orientation val="minMax"/>
        </c:scaling>
        <c:delete val="0"/>
        <c:axPos val="l"/>
        <c:majorGridlines/>
        <c:title>
          <c:tx>
            <c:rich>
              <a:bodyPr rot="-5400000" vert="horz"/>
              <a:lstStyle/>
              <a:p>
                <a:pPr>
                  <a:defRPr/>
                </a:pPr>
                <a:r>
                  <a:rPr lang="en-US"/>
                  <a:t>$ CLP</a:t>
                </a:r>
              </a:p>
            </c:rich>
          </c:tx>
          <c:layout/>
          <c:overlay val="0"/>
        </c:title>
        <c:numFmt formatCode="#,##0" sourceLinked="0"/>
        <c:majorTickMark val="out"/>
        <c:minorTickMark val="none"/>
        <c:tickLblPos val="nextTo"/>
        <c:crossAx val="184726272"/>
        <c:crosses val="autoZero"/>
        <c:crossBetween val="between"/>
      </c:valAx>
      <c:valAx>
        <c:axId val="184734080"/>
        <c:scaling>
          <c:orientation val="minMax"/>
          <c:max val="1"/>
        </c:scaling>
        <c:delete val="0"/>
        <c:axPos val="r"/>
        <c:numFmt formatCode="0%" sourceLinked="0"/>
        <c:majorTickMark val="out"/>
        <c:minorTickMark val="none"/>
        <c:tickLblPos val="nextTo"/>
        <c:crossAx val="184735616"/>
        <c:crosses val="max"/>
        <c:crossBetween val="between"/>
        <c:majorUnit val="0.2"/>
        <c:minorUnit val="0.2"/>
      </c:valAx>
      <c:catAx>
        <c:axId val="184735616"/>
        <c:scaling>
          <c:orientation val="minMax"/>
        </c:scaling>
        <c:delete val="1"/>
        <c:axPos val="b"/>
        <c:majorTickMark val="out"/>
        <c:minorTickMark val="none"/>
        <c:tickLblPos val="nextTo"/>
        <c:crossAx val="184734080"/>
        <c:crosses val="autoZero"/>
        <c:auto val="1"/>
        <c:lblAlgn val="ctr"/>
        <c:lblOffset val="100"/>
        <c:noMultiLvlLbl val="0"/>
      </c:catAx>
    </c:plotArea>
    <c:legend>
      <c:legendPos val="r"/>
      <c:layout>
        <c:manualLayout>
          <c:xMode val="edge"/>
          <c:yMode val="edge"/>
          <c:x val="0.20051876134500041"/>
          <c:y val="3.80970342779009E-3"/>
          <c:w val="0.57815892160654503"/>
          <c:h val="6.6902206086514635E-2"/>
        </c:manualLayout>
      </c:layout>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434620936487468"/>
          <c:y val="8.8659426553716711E-2"/>
          <c:w val="0.83288122962767608"/>
          <c:h val="0.65290123165742009"/>
        </c:manualLayout>
      </c:layout>
      <c:barChart>
        <c:barDir val="col"/>
        <c:grouping val="clustered"/>
        <c:varyColors val="0"/>
        <c:ser>
          <c:idx val="0"/>
          <c:order val="0"/>
          <c:tx>
            <c:strRef>
              <c:f>'Resumen usos'!$L$61</c:f>
              <c:strCache>
                <c:ptCount val="1"/>
                <c:pt idx="0">
                  <c:v>Puntaje</c:v>
                </c:pt>
              </c:strCache>
            </c:strRef>
          </c:tx>
          <c:invertIfNegative val="0"/>
          <c:cat>
            <c:strRef>
              <c:f>'Resumen usos'!$M$62:$M$81</c:f>
              <c:strCache>
                <c:ptCount val="11"/>
                <c:pt idx="0">
                  <c:v>Proyectores galpón exterior</c:v>
                </c:pt>
                <c:pt idx="1">
                  <c:v>Proyectores galpón interior</c:v>
                </c:pt>
                <c:pt idx="2">
                  <c:v>Camión tipo 1</c:v>
                </c:pt>
                <c:pt idx="3">
                  <c:v>Ventiladores</c:v>
                </c:pt>
                <c:pt idx="4">
                  <c:v>prueba 1</c:v>
                </c:pt>
                <c:pt idx="5">
                  <c:v>Compresores</c:v>
                </c:pt>
                <c:pt idx="6">
                  <c:v>Camión tipo 2</c:v>
                </c:pt>
                <c:pt idx="7">
                  <c:v>Vapor GN</c:v>
                </c:pt>
                <c:pt idx="8">
                  <c:v>Vapor Diesel</c:v>
                </c:pt>
                <c:pt idx="9">
                  <c:v>Luminarias oficina 1 tipo 1</c:v>
                </c:pt>
                <c:pt idx="10">
                  <c:v>Otros</c:v>
                </c:pt>
              </c:strCache>
            </c:strRef>
          </c:cat>
          <c:val>
            <c:numRef>
              <c:f>[0]!Puntaje</c:f>
              <c:numCache>
                <c:formatCode>0.0%</c:formatCode>
                <c:ptCount val="11"/>
                <c:pt idx="0">
                  <c:v>0.38379231454684259</c:v>
                </c:pt>
                <c:pt idx="1">
                  <c:v>0.28784423591013192</c:v>
                </c:pt>
                <c:pt idx="2">
                  <c:v>9.8485626781768726E-2</c:v>
                </c:pt>
                <c:pt idx="3">
                  <c:v>5.6262411289874734E-2</c:v>
                </c:pt>
                <c:pt idx="4">
                  <c:v>5.6219577326197645E-2</c:v>
                </c:pt>
                <c:pt idx="5">
                  <c:v>2.3558680022406631E-2</c:v>
                </c:pt>
                <c:pt idx="6">
                  <c:v>2.0890890529466091E-2</c:v>
                </c:pt>
                <c:pt idx="7">
                  <c:v>1.3045617932976546E-2</c:v>
                </c:pt>
                <c:pt idx="8">
                  <c:v>8.9532387983426113E-3</c:v>
                </c:pt>
                <c:pt idx="9">
                  <c:v>7.8643157311161054E-3</c:v>
                </c:pt>
                <c:pt idx="10">
                  <c:v>4.3083091130876161E-2</c:v>
                </c:pt>
              </c:numCache>
            </c:numRef>
          </c:val>
        </c:ser>
        <c:dLbls>
          <c:showLegendKey val="0"/>
          <c:showVal val="0"/>
          <c:showCatName val="0"/>
          <c:showSerName val="0"/>
          <c:showPercent val="0"/>
          <c:showBubbleSize val="0"/>
        </c:dLbls>
        <c:gapWidth val="150"/>
        <c:axId val="184775040"/>
        <c:axId val="184776576"/>
      </c:barChart>
      <c:lineChart>
        <c:grouping val="standard"/>
        <c:varyColors val="0"/>
        <c:ser>
          <c:idx val="1"/>
          <c:order val="1"/>
          <c:tx>
            <c:strRef>
              <c:f>'Resumen usos'!$N$61</c:f>
              <c:strCache>
                <c:ptCount val="1"/>
                <c:pt idx="0">
                  <c:v>Puntaje agregado</c:v>
                </c:pt>
              </c:strCache>
            </c:strRef>
          </c:tx>
          <c:marker>
            <c:symbol val="none"/>
          </c:marker>
          <c:cat>
            <c:strRef>
              <c:f>'Resumen usos'!$M$62:$M$81</c:f>
              <c:strCache>
                <c:ptCount val="11"/>
                <c:pt idx="0">
                  <c:v>Proyectores galpón exterior</c:v>
                </c:pt>
                <c:pt idx="1">
                  <c:v>Proyectores galpón interior</c:v>
                </c:pt>
                <c:pt idx="2">
                  <c:v>Camión tipo 1</c:v>
                </c:pt>
                <c:pt idx="3">
                  <c:v>Ventiladores</c:v>
                </c:pt>
                <c:pt idx="4">
                  <c:v>prueba 1</c:v>
                </c:pt>
                <c:pt idx="5">
                  <c:v>Compresores</c:v>
                </c:pt>
                <c:pt idx="6">
                  <c:v>Camión tipo 2</c:v>
                </c:pt>
                <c:pt idx="7">
                  <c:v>Vapor GN</c:v>
                </c:pt>
                <c:pt idx="8">
                  <c:v>Vapor Diesel</c:v>
                </c:pt>
                <c:pt idx="9">
                  <c:v>Luminarias oficina 1 tipo 1</c:v>
                </c:pt>
                <c:pt idx="10">
                  <c:v>Otros</c:v>
                </c:pt>
              </c:strCache>
            </c:strRef>
          </c:cat>
          <c:val>
            <c:numRef>
              <c:f>[0]!Puntaje_Agregado</c:f>
              <c:numCache>
                <c:formatCode>0.0%</c:formatCode>
                <c:ptCount val="11"/>
                <c:pt idx="0">
                  <c:v>0.38379231454684259</c:v>
                </c:pt>
                <c:pt idx="1">
                  <c:v>0.67163655045697457</c:v>
                </c:pt>
                <c:pt idx="2">
                  <c:v>0.77012217723874332</c:v>
                </c:pt>
                <c:pt idx="3">
                  <c:v>0.82638458852861807</c:v>
                </c:pt>
                <c:pt idx="4">
                  <c:v>0.88260416585481571</c:v>
                </c:pt>
                <c:pt idx="5">
                  <c:v>0.9061628458772224</c:v>
                </c:pt>
                <c:pt idx="6">
                  <c:v>0.92705373640668853</c:v>
                </c:pt>
                <c:pt idx="7">
                  <c:v>0.94009935433966507</c:v>
                </c:pt>
                <c:pt idx="8">
                  <c:v>0.94905259313800772</c:v>
                </c:pt>
                <c:pt idx="9">
                  <c:v>0.95691690886912384</c:v>
                </c:pt>
                <c:pt idx="10">
                  <c:v>1</c:v>
                </c:pt>
              </c:numCache>
            </c:numRef>
          </c:val>
          <c:smooth val="0"/>
        </c:ser>
        <c:ser>
          <c:idx val="2"/>
          <c:order val="2"/>
          <c:tx>
            <c:v>80%</c:v>
          </c:tx>
          <c:spPr>
            <a:ln w="19050">
              <a:prstDash val="sysDot"/>
            </a:ln>
          </c:spPr>
          <c:marker>
            <c:symbol val="none"/>
          </c:marker>
          <c:cat>
            <c:strRef>
              <c:f>'Resumen usos'!$M$62:$M$81</c:f>
              <c:strCache>
                <c:ptCount val="11"/>
                <c:pt idx="0">
                  <c:v>Proyectores galpón exterior</c:v>
                </c:pt>
                <c:pt idx="1">
                  <c:v>Proyectores galpón interior</c:v>
                </c:pt>
                <c:pt idx="2">
                  <c:v>Camión tipo 1</c:v>
                </c:pt>
                <c:pt idx="3">
                  <c:v>Ventiladores</c:v>
                </c:pt>
                <c:pt idx="4">
                  <c:v>prueba 1</c:v>
                </c:pt>
                <c:pt idx="5">
                  <c:v>Compresores</c:v>
                </c:pt>
                <c:pt idx="6">
                  <c:v>Camión tipo 2</c:v>
                </c:pt>
                <c:pt idx="7">
                  <c:v>Vapor GN</c:v>
                </c:pt>
                <c:pt idx="8">
                  <c:v>Vapor Diesel</c:v>
                </c:pt>
                <c:pt idx="9">
                  <c:v>Luminarias oficina 1 tipo 1</c:v>
                </c:pt>
                <c:pt idx="10">
                  <c:v>Otros</c:v>
                </c:pt>
              </c:strCache>
            </c:strRef>
          </c:cat>
          <c:val>
            <c:numRef>
              <c:f>[0]!Referencia80Puntaje</c:f>
              <c:numCache>
                <c:formatCode>0%</c:formatCode>
                <c:ptCount val="11"/>
                <c:pt idx="0">
                  <c:v>0.8</c:v>
                </c:pt>
                <c:pt idx="1">
                  <c:v>0.8</c:v>
                </c:pt>
                <c:pt idx="2">
                  <c:v>0.8</c:v>
                </c:pt>
                <c:pt idx="3">
                  <c:v>0.8</c:v>
                </c:pt>
                <c:pt idx="4">
                  <c:v>0.8</c:v>
                </c:pt>
                <c:pt idx="5">
                  <c:v>0.8</c:v>
                </c:pt>
                <c:pt idx="6">
                  <c:v>0.8</c:v>
                </c:pt>
                <c:pt idx="7">
                  <c:v>0.8</c:v>
                </c:pt>
                <c:pt idx="8">
                  <c:v>0.8</c:v>
                </c:pt>
                <c:pt idx="9">
                  <c:v>0.8</c:v>
                </c:pt>
                <c:pt idx="10">
                  <c:v>0.8</c:v>
                </c:pt>
              </c:numCache>
            </c:numRef>
          </c:val>
          <c:smooth val="0"/>
        </c:ser>
        <c:dLbls>
          <c:showLegendKey val="0"/>
          <c:showVal val="0"/>
          <c:showCatName val="0"/>
          <c:showSerName val="0"/>
          <c:showPercent val="0"/>
          <c:showBubbleSize val="0"/>
        </c:dLbls>
        <c:marker val="1"/>
        <c:smooth val="0"/>
        <c:axId val="184784384"/>
        <c:axId val="184782848"/>
      </c:lineChart>
      <c:catAx>
        <c:axId val="184775040"/>
        <c:scaling>
          <c:orientation val="minMax"/>
        </c:scaling>
        <c:delete val="0"/>
        <c:axPos val="b"/>
        <c:majorTickMark val="out"/>
        <c:minorTickMark val="none"/>
        <c:tickLblPos val="nextTo"/>
        <c:txPr>
          <a:bodyPr rot="-2700000" vert="horz"/>
          <a:lstStyle/>
          <a:p>
            <a:pPr>
              <a:defRPr/>
            </a:pPr>
            <a:endParaRPr lang="es-CL"/>
          </a:p>
        </c:txPr>
        <c:crossAx val="184776576"/>
        <c:crosses val="autoZero"/>
        <c:auto val="0"/>
        <c:lblAlgn val="ctr"/>
        <c:lblOffset val="100"/>
        <c:noMultiLvlLbl val="0"/>
      </c:catAx>
      <c:valAx>
        <c:axId val="184776576"/>
        <c:scaling>
          <c:orientation val="minMax"/>
        </c:scaling>
        <c:delete val="0"/>
        <c:axPos val="l"/>
        <c:majorGridlines/>
        <c:title>
          <c:tx>
            <c:rich>
              <a:bodyPr rot="-5400000" vert="horz"/>
              <a:lstStyle/>
              <a:p>
                <a:pPr>
                  <a:defRPr/>
                </a:pPr>
                <a:r>
                  <a:rPr lang="en-US"/>
                  <a:t>Puntaje</a:t>
                </a:r>
              </a:p>
            </c:rich>
          </c:tx>
          <c:layout/>
          <c:overlay val="0"/>
        </c:title>
        <c:numFmt formatCode="0%" sourceLinked="0"/>
        <c:majorTickMark val="out"/>
        <c:minorTickMark val="none"/>
        <c:tickLblPos val="nextTo"/>
        <c:crossAx val="184775040"/>
        <c:crosses val="autoZero"/>
        <c:crossBetween val="between"/>
      </c:valAx>
      <c:valAx>
        <c:axId val="184782848"/>
        <c:scaling>
          <c:orientation val="minMax"/>
          <c:max val="1"/>
        </c:scaling>
        <c:delete val="0"/>
        <c:axPos val="r"/>
        <c:numFmt formatCode="0%" sourceLinked="0"/>
        <c:majorTickMark val="out"/>
        <c:minorTickMark val="none"/>
        <c:tickLblPos val="nextTo"/>
        <c:crossAx val="184784384"/>
        <c:crosses val="max"/>
        <c:crossBetween val="between"/>
        <c:majorUnit val="0.2"/>
        <c:minorUnit val="0.2"/>
      </c:valAx>
      <c:catAx>
        <c:axId val="184784384"/>
        <c:scaling>
          <c:orientation val="minMax"/>
        </c:scaling>
        <c:delete val="1"/>
        <c:axPos val="b"/>
        <c:majorTickMark val="out"/>
        <c:minorTickMark val="none"/>
        <c:tickLblPos val="nextTo"/>
        <c:crossAx val="184782848"/>
        <c:crosses val="autoZero"/>
        <c:auto val="1"/>
        <c:lblAlgn val="ctr"/>
        <c:lblOffset val="100"/>
        <c:noMultiLvlLbl val="0"/>
      </c:catAx>
    </c:plotArea>
    <c:legend>
      <c:legendPos val="r"/>
      <c:layout>
        <c:manualLayout>
          <c:xMode val="edge"/>
          <c:yMode val="edge"/>
          <c:x val="0.20051876134500041"/>
          <c:y val="3.80970342779009E-3"/>
          <c:w val="0.57815892160654503"/>
          <c:h val="6.6902206086514635E-2"/>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30"/>
    </c:view3D>
    <c:floor>
      <c:thickness val="0"/>
    </c:floor>
    <c:sideWall>
      <c:thickness val="0"/>
    </c:sideWall>
    <c:backWall>
      <c:thickness val="0"/>
    </c:backWall>
    <c:plotArea>
      <c:layout>
        <c:manualLayout>
          <c:layoutTarget val="inner"/>
          <c:xMode val="edge"/>
          <c:yMode val="edge"/>
          <c:x val="4.204427276779082E-4"/>
          <c:y val="2.3399891493034188E-3"/>
          <c:w val="0.79110813978441374"/>
          <c:h val="0.98091010956052704"/>
        </c:manualLayout>
      </c:layout>
      <c:pie3DChart>
        <c:varyColors val="1"/>
        <c:ser>
          <c:idx val="0"/>
          <c:order val="0"/>
          <c:tx>
            <c:strRef>
              <c:f>'Gráficos usos'!$I$1</c:f>
              <c:strCache>
                <c:ptCount val="1"/>
                <c:pt idx="0">
                  <c:v>Usos Gas Natural</c:v>
                </c:pt>
              </c:strCache>
            </c:strRef>
          </c:tx>
          <c:dPt>
            <c:idx val="0"/>
            <c:bubble3D val="0"/>
            <c:explosion val="12"/>
          </c:dPt>
          <c:dLbls>
            <c:showLegendKey val="0"/>
            <c:showVal val="0"/>
            <c:showCatName val="0"/>
            <c:showSerName val="0"/>
            <c:showPercent val="1"/>
            <c:showBubbleSize val="0"/>
            <c:showLeaderLines val="1"/>
          </c:dLbls>
          <c:cat>
            <c:strRef>
              <c:f>'Usos Gas Natural'!$K$5:$K$15</c:f>
              <c:strCache>
                <c:ptCount val="11"/>
                <c:pt idx="0">
                  <c:v>Iluminación</c:v>
                </c:pt>
                <c:pt idx="1">
                  <c:v>Aire Acondicionado </c:v>
                </c:pt>
                <c:pt idx="2">
                  <c:v>Calefacción</c:v>
                </c:pt>
                <c:pt idx="3">
                  <c:v>ACS y lavandería</c:v>
                </c:pt>
                <c:pt idx="4">
                  <c:v>Equipos de oficina</c:v>
                </c:pt>
                <c:pt idx="5">
                  <c:v>Motores, usos en tracción y fuerza</c:v>
                </c:pt>
                <c:pt idx="6">
                  <c:v>Compresores, bombas y ventiladores</c:v>
                </c:pt>
                <c:pt idx="7">
                  <c:v>Refrigeración</c:v>
                </c:pt>
                <c:pt idx="8">
                  <c:v>Hornos industriales y secado</c:v>
                </c:pt>
                <c:pt idx="9">
                  <c:v>Calderas de agua y vapor para procesos</c:v>
                </c:pt>
                <c:pt idx="10">
                  <c:v>Otros</c:v>
                </c:pt>
              </c:strCache>
            </c:strRef>
          </c:cat>
          <c:val>
            <c:numRef>
              <c:f>'Usos Gas Natural'!$L$5:$L$15</c:f>
              <c:numCache>
                <c:formatCode>_(* #,##0.00_);_(* \(#,##0.00\);_(* "-"??_);_(@_)</c:formatCode>
                <c:ptCount val="11"/>
                <c:pt idx="0">
                  <c:v>0</c:v>
                </c:pt>
                <c:pt idx="1">
                  <c:v>0</c:v>
                </c:pt>
                <c:pt idx="2">
                  <c:v>162.89999999999998</c:v>
                </c:pt>
                <c:pt idx="3">
                  <c:v>10860</c:v>
                </c:pt>
                <c:pt idx="4">
                  <c:v>0</c:v>
                </c:pt>
                <c:pt idx="5">
                  <c:v>4887</c:v>
                </c:pt>
                <c:pt idx="6">
                  <c:v>0</c:v>
                </c:pt>
                <c:pt idx="7">
                  <c:v>0</c:v>
                </c:pt>
                <c:pt idx="8">
                  <c:v>0</c:v>
                </c:pt>
                <c:pt idx="9">
                  <c:v>32580</c:v>
                </c:pt>
                <c:pt idx="10">
                  <c:v>0</c:v>
                </c:pt>
              </c:numCache>
            </c:numRef>
          </c:val>
        </c:ser>
        <c:dLbls>
          <c:showLegendKey val="0"/>
          <c:showVal val="0"/>
          <c:showCatName val="0"/>
          <c:showSerName val="0"/>
          <c:showPercent val="1"/>
          <c:showBubbleSize val="0"/>
          <c:showLeaderLines val="1"/>
        </c:dLbls>
      </c:pie3DChart>
    </c:plotArea>
    <c:legend>
      <c:legendPos val="r"/>
      <c:layout>
        <c:manualLayout>
          <c:xMode val="edge"/>
          <c:yMode val="edge"/>
          <c:x val="2.8540913517885735E-2"/>
          <c:y val="0.76999157150973363"/>
          <c:w val="0.96891480546063813"/>
          <c:h val="0.23000842849026634"/>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32413471680525"/>
          <c:y val="5.7979439030928726E-2"/>
          <c:w val="0.7080185444109206"/>
          <c:h val="0.89973853030841455"/>
        </c:manualLayout>
      </c:layout>
      <c:pieChart>
        <c:varyColors val="1"/>
        <c:ser>
          <c:idx val="0"/>
          <c:order val="0"/>
          <c:dLbls>
            <c:showLegendKey val="0"/>
            <c:showVal val="0"/>
            <c:showCatName val="0"/>
            <c:showSerName val="0"/>
            <c:showPercent val="1"/>
            <c:showBubbleSize val="0"/>
            <c:showLeaderLines val="1"/>
          </c:dLbls>
          <c:cat>
            <c:numRef>
              <c:f>'Resumen consumos y usos'!$J$39:$J$49</c:f>
              <c:numCache>
                <c:formatCode>General</c:formatCode>
                <c:ptCount val="11"/>
              </c:numCache>
            </c:numRef>
          </c:cat>
          <c:val>
            <c:numRef>
              <c:f>'Resumen consumos y usos'!$H$39:$H$49</c:f>
              <c:numCache>
                <c:formatCode>_(* #,##0.00_);_(* \(#,##0.00\);_(* "-"??_);_(@_)</c:formatCode>
                <c:ptCount val="11"/>
                <c:pt idx="0">
                  <c:v>2089673.2321428573</c:v>
                </c:pt>
                <c:pt idx="1">
                  <c:v>12905.357142857145</c:v>
                </c:pt>
                <c:pt idx="2">
                  <c:v>19627.021428571432</c:v>
                </c:pt>
                <c:pt idx="3">
                  <c:v>29230</c:v>
                </c:pt>
                <c:pt idx="4">
                  <c:v>12123.214285714286</c:v>
                </c:pt>
                <c:pt idx="5">
                  <c:v>607187.25</c:v>
                </c:pt>
                <c:pt idx="6">
                  <c:v>242920.53571428571</c:v>
                </c:pt>
                <c:pt idx="7">
                  <c:v>0</c:v>
                </c:pt>
                <c:pt idx="8">
                  <c:v>0</c:v>
                </c:pt>
                <c:pt idx="9">
                  <c:v>87690</c:v>
                </c:pt>
                <c:pt idx="10">
                  <c:v>0</c:v>
                </c:pt>
              </c:numCache>
            </c:numRef>
          </c:val>
        </c:ser>
        <c:dLbls>
          <c:showLegendKey val="0"/>
          <c:showVal val="0"/>
          <c:showCatName val="0"/>
          <c:showSerName val="0"/>
          <c:showPercent val="1"/>
          <c:showBubbleSize val="0"/>
          <c:showLeaderLines val="1"/>
        </c:dLbls>
        <c:firstSliceAng val="0"/>
      </c:pieChart>
      <c:spPr>
        <a:noFill/>
        <a:ln w="25400">
          <a:noFill/>
        </a:ln>
      </c:spPr>
    </c:plotArea>
    <c:legend>
      <c:legendPos val="t"/>
      <c:layout>
        <c:manualLayout>
          <c:xMode val="edge"/>
          <c:yMode val="edge"/>
          <c:x val="5.6084578212770128E-4"/>
          <c:y val="8.5695475713991803E-2"/>
          <c:w val="4.4996786616626198E-2"/>
          <c:h val="0.52640020947500332"/>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30"/>
    </c:view3D>
    <c:floor>
      <c:thickness val="0"/>
    </c:floor>
    <c:sideWall>
      <c:thickness val="0"/>
    </c:sideWall>
    <c:backWall>
      <c:thickness val="0"/>
    </c:backWall>
    <c:plotArea>
      <c:layout>
        <c:manualLayout>
          <c:layoutTarget val="inner"/>
          <c:xMode val="edge"/>
          <c:yMode val="edge"/>
          <c:x val="4.204427276779082E-4"/>
          <c:y val="2.3399891493034188E-3"/>
          <c:w val="0.79110813978441374"/>
          <c:h val="0.98091010956052704"/>
        </c:manualLayout>
      </c:layout>
      <c:pie3DChart>
        <c:varyColors val="1"/>
        <c:ser>
          <c:idx val="0"/>
          <c:order val="0"/>
          <c:tx>
            <c:strRef>
              <c:f>'Gráficos usos'!$R$1</c:f>
              <c:strCache>
                <c:ptCount val="1"/>
                <c:pt idx="0">
                  <c:v>Usos Gas Licuado</c:v>
                </c:pt>
              </c:strCache>
            </c:strRef>
          </c:tx>
          <c:dPt>
            <c:idx val="0"/>
            <c:bubble3D val="0"/>
            <c:explosion val="12"/>
          </c:dPt>
          <c:dLbls>
            <c:showLegendKey val="0"/>
            <c:showVal val="0"/>
            <c:showCatName val="0"/>
            <c:showSerName val="0"/>
            <c:showPercent val="1"/>
            <c:showBubbleSize val="0"/>
            <c:showLeaderLines val="1"/>
          </c:dLbls>
          <c:cat>
            <c:strRef>
              <c:f>'Usos Gas Licuado'!$K$5:$K$15</c:f>
              <c:strCache>
                <c:ptCount val="11"/>
                <c:pt idx="0">
                  <c:v>Iluminación</c:v>
                </c:pt>
                <c:pt idx="1">
                  <c:v>Aire Acondicionado </c:v>
                </c:pt>
                <c:pt idx="2">
                  <c:v>Calefacción</c:v>
                </c:pt>
                <c:pt idx="3">
                  <c:v>ACS y lavandería</c:v>
                </c:pt>
                <c:pt idx="4">
                  <c:v>Equipos de oficina</c:v>
                </c:pt>
                <c:pt idx="5">
                  <c:v>Motores, usos en tracción y fuerza</c:v>
                </c:pt>
                <c:pt idx="6">
                  <c:v>Compresores, bombas y ventiladores</c:v>
                </c:pt>
                <c:pt idx="7">
                  <c:v>Refrigeración</c:v>
                </c:pt>
                <c:pt idx="8">
                  <c:v>Hornos industriales y secado</c:v>
                </c:pt>
                <c:pt idx="9">
                  <c:v>Calderas de agua y vapor para procesos</c:v>
                </c:pt>
                <c:pt idx="10">
                  <c:v>Otros</c:v>
                </c:pt>
              </c:strCache>
            </c:strRef>
          </c:cat>
          <c:val>
            <c:numRef>
              <c:f>'Usos Gas Licuado'!$L$5:$L$15</c:f>
              <c:numCache>
                <c:formatCode>_(* #,##0.00_);_(* \(#,##0.00\);_(* "-"??_);_(@_)</c:formatCode>
                <c:ptCount val="11"/>
                <c:pt idx="0">
                  <c:v>0</c:v>
                </c:pt>
                <c:pt idx="1">
                  <c:v>0</c:v>
                </c:pt>
                <c:pt idx="2">
                  <c:v>115.95</c:v>
                </c:pt>
                <c:pt idx="3">
                  <c:v>7730</c:v>
                </c:pt>
                <c:pt idx="4">
                  <c:v>0</c:v>
                </c:pt>
                <c:pt idx="5">
                  <c:v>3478.5</c:v>
                </c:pt>
                <c:pt idx="6">
                  <c:v>0</c:v>
                </c:pt>
                <c:pt idx="7">
                  <c:v>0</c:v>
                </c:pt>
                <c:pt idx="8">
                  <c:v>0</c:v>
                </c:pt>
                <c:pt idx="9">
                  <c:v>23190</c:v>
                </c:pt>
                <c:pt idx="10">
                  <c:v>0</c:v>
                </c:pt>
              </c:numCache>
            </c:numRef>
          </c:val>
        </c:ser>
        <c:dLbls>
          <c:showLegendKey val="0"/>
          <c:showVal val="0"/>
          <c:showCatName val="0"/>
          <c:showSerName val="0"/>
          <c:showPercent val="1"/>
          <c:showBubbleSize val="0"/>
          <c:showLeaderLines val="1"/>
        </c:dLbls>
      </c:pie3DChart>
    </c:plotArea>
    <c:legend>
      <c:legendPos val="r"/>
      <c:layout>
        <c:manualLayout>
          <c:xMode val="edge"/>
          <c:yMode val="edge"/>
          <c:x val="2.8540913517885735E-2"/>
          <c:y val="0.76999157150973363"/>
          <c:w val="0.96891480546063813"/>
          <c:h val="0.23000842849026634"/>
        </c:manualLayout>
      </c:layout>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0"/>
      <c:rAngAx val="0"/>
      <c:perspective val="30"/>
    </c:view3D>
    <c:floor>
      <c:thickness val="0"/>
    </c:floor>
    <c:sideWall>
      <c:thickness val="0"/>
    </c:sideWall>
    <c:backWall>
      <c:thickness val="0"/>
    </c:backWall>
    <c:plotArea>
      <c:layout>
        <c:manualLayout>
          <c:layoutTarget val="inner"/>
          <c:xMode val="edge"/>
          <c:yMode val="edge"/>
          <c:x val="4.204427276779082E-4"/>
          <c:y val="2.3399891493034188E-3"/>
          <c:w val="0.79110813978441374"/>
          <c:h val="0.98091010956052704"/>
        </c:manualLayout>
      </c:layout>
      <c:pie3DChart>
        <c:varyColors val="1"/>
        <c:ser>
          <c:idx val="0"/>
          <c:order val="0"/>
          <c:tx>
            <c:strRef>
              <c:f>'Gráficos usos'!$AA$1</c:f>
              <c:strCache>
                <c:ptCount val="1"/>
                <c:pt idx="0">
                  <c:v>Usos Diesel</c:v>
                </c:pt>
              </c:strCache>
            </c:strRef>
          </c:tx>
          <c:dPt>
            <c:idx val="0"/>
            <c:bubble3D val="0"/>
            <c:explosion val="12"/>
          </c:dPt>
          <c:dLbls>
            <c:showLegendKey val="0"/>
            <c:showVal val="0"/>
            <c:showCatName val="0"/>
            <c:showSerName val="0"/>
            <c:showPercent val="1"/>
            <c:showBubbleSize val="0"/>
            <c:showLeaderLines val="1"/>
          </c:dLbls>
          <c:cat>
            <c:strRef>
              <c:f>'Usos Diesel'!$K$5:$K$15</c:f>
              <c:strCache>
                <c:ptCount val="11"/>
                <c:pt idx="0">
                  <c:v>Iluminación</c:v>
                </c:pt>
                <c:pt idx="1">
                  <c:v>Aire Acondicionado </c:v>
                </c:pt>
                <c:pt idx="2">
                  <c:v>Calefacción</c:v>
                </c:pt>
                <c:pt idx="3">
                  <c:v>ACS y lavandería</c:v>
                </c:pt>
                <c:pt idx="4">
                  <c:v>Equipos de oficina</c:v>
                </c:pt>
                <c:pt idx="5">
                  <c:v>Motores, usos en tracción y fuerza</c:v>
                </c:pt>
                <c:pt idx="6">
                  <c:v>Compresores, bombas y ventiladores</c:v>
                </c:pt>
                <c:pt idx="7">
                  <c:v>Refrigeración</c:v>
                </c:pt>
                <c:pt idx="8">
                  <c:v>Hornos industriales y secado</c:v>
                </c:pt>
                <c:pt idx="9">
                  <c:v>Calderas de agua y vapor para procesos</c:v>
                </c:pt>
                <c:pt idx="10">
                  <c:v>Otros</c:v>
                </c:pt>
              </c:strCache>
            </c:strRef>
          </c:cat>
          <c:val>
            <c:numRef>
              <c:f>'Usos Diesel'!$L$5:$L$15</c:f>
              <c:numCache>
                <c:formatCode>_(* #,##0.00_);_(* \(#,##0.00\);_(* "-"??_);_(@_)</c:formatCode>
                <c:ptCount val="11"/>
                <c:pt idx="0">
                  <c:v>0</c:v>
                </c:pt>
                <c:pt idx="1">
                  <c:v>0</c:v>
                </c:pt>
                <c:pt idx="2">
                  <c:v>159.60000000000002</c:v>
                </c:pt>
                <c:pt idx="3">
                  <c:v>10640</c:v>
                </c:pt>
                <c:pt idx="4">
                  <c:v>0</c:v>
                </c:pt>
                <c:pt idx="5">
                  <c:v>427728</c:v>
                </c:pt>
                <c:pt idx="6">
                  <c:v>0</c:v>
                </c:pt>
                <c:pt idx="7">
                  <c:v>0</c:v>
                </c:pt>
                <c:pt idx="8">
                  <c:v>0</c:v>
                </c:pt>
                <c:pt idx="9">
                  <c:v>31920</c:v>
                </c:pt>
                <c:pt idx="10">
                  <c:v>0</c:v>
                </c:pt>
              </c:numCache>
            </c:numRef>
          </c:val>
        </c:ser>
        <c:dLbls>
          <c:showLegendKey val="0"/>
          <c:showVal val="0"/>
          <c:showCatName val="0"/>
          <c:showSerName val="0"/>
          <c:showPercent val="1"/>
          <c:showBubbleSize val="0"/>
          <c:showLeaderLines val="1"/>
        </c:dLbls>
      </c:pie3DChart>
    </c:plotArea>
    <c:legend>
      <c:legendPos val="r"/>
      <c:layout>
        <c:manualLayout>
          <c:xMode val="edge"/>
          <c:yMode val="edge"/>
          <c:x val="2.8540913517885735E-2"/>
          <c:y val="0.76999157150973363"/>
          <c:w val="0.96891480546063813"/>
          <c:h val="0.23000842849026634"/>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cat>
            <c:strRef>
              <c:f>Electricidad!$B$24:$B$35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Electricidad!$C$24:$C$35</c:f>
              <c:numCache>
                <c:formatCode>#,##0</c:formatCode>
                <c:ptCount val="12"/>
                <c:pt idx="0">
                  <c:v>224000</c:v>
                </c:pt>
                <c:pt idx="1">
                  <c:v>220500</c:v>
                </c:pt>
                <c:pt idx="2">
                  <c:v>259000</c:v>
                </c:pt>
                <c:pt idx="3">
                  <c:v>183963</c:v>
                </c:pt>
                <c:pt idx="4">
                  <c:v>161000</c:v>
                </c:pt>
                <c:pt idx="5">
                  <c:v>183963</c:v>
                </c:pt>
                <c:pt idx="6">
                  <c:v>183963</c:v>
                </c:pt>
                <c:pt idx="7">
                  <c:v>183963</c:v>
                </c:pt>
                <c:pt idx="8">
                  <c:v>183963</c:v>
                </c:pt>
                <c:pt idx="9">
                  <c:v>259000</c:v>
                </c:pt>
                <c:pt idx="10">
                  <c:v>255500</c:v>
                </c:pt>
                <c:pt idx="11">
                  <c:v>245000</c:v>
                </c:pt>
              </c:numCache>
            </c:numRef>
          </c:val>
          <c:smooth val="0"/>
        </c:ser>
        <c:dLbls>
          <c:showLegendKey val="0"/>
          <c:showVal val="0"/>
          <c:showCatName val="0"/>
          <c:showSerName val="0"/>
          <c:showPercent val="0"/>
          <c:showBubbleSize val="0"/>
        </c:dLbls>
        <c:marker val="1"/>
        <c:smooth val="0"/>
        <c:axId val="182817536"/>
        <c:axId val="182819072"/>
      </c:lineChart>
      <c:catAx>
        <c:axId val="182817536"/>
        <c:scaling>
          <c:orientation val="minMax"/>
        </c:scaling>
        <c:delete val="0"/>
        <c:axPos val="b"/>
        <c:majorTickMark val="none"/>
        <c:minorTickMark val="none"/>
        <c:tickLblPos val="nextTo"/>
        <c:crossAx val="182819072"/>
        <c:crosses val="autoZero"/>
        <c:auto val="1"/>
        <c:lblAlgn val="ctr"/>
        <c:lblOffset val="100"/>
        <c:noMultiLvlLbl val="0"/>
      </c:catAx>
      <c:valAx>
        <c:axId val="182819072"/>
        <c:scaling>
          <c:orientation val="minMax"/>
        </c:scaling>
        <c:delete val="0"/>
        <c:axPos val="l"/>
        <c:majorGridlines/>
        <c:title>
          <c:tx>
            <c:rich>
              <a:bodyPr/>
              <a:lstStyle/>
              <a:p>
                <a:pPr>
                  <a:defRPr/>
                </a:pPr>
                <a:r>
                  <a:rPr lang="en-US"/>
                  <a:t>kWh</a:t>
                </a:r>
              </a:p>
            </c:rich>
          </c:tx>
          <c:layout/>
          <c:overlay val="0"/>
        </c:title>
        <c:numFmt formatCode="#,##0" sourceLinked="1"/>
        <c:majorTickMark val="none"/>
        <c:minorTickMark val="none"/>
        <c:tickLblPos val="nextTo"/>
        <c:crossAx val="182817536"/>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cat>
            <c:strRef>
              <c:f>'Gas Natural  '!$B$12:$B$23</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'Gas Natural  '!$G$12:$G$23</c:f>
              <c:numCache>
                <c:formatCode>_(* #,##0.00_);_(* \(#,##0.00\);_(* "-"??_);_(@_)</c:formatCode>
                <c:ptCount val="12"/>
                <c:pt idx="0">
                  <c:v>2356.1437116823195</c:v>
                </c:pt>
                <c:pt idx="1">
                  <c:v>2356.1437116823195</c:v>
                </c:pt>
                <c:pt idx="2">
                  <c:v>3597.5527640740797</c:v>
                </c:pt>
                <c:pt idx="3">
                  <c:v>3597.5527640740797</c:v>
                </c:pt>
                <c:pt idx="4">
                  <c:v>3698.8922785550399</c:v>
                </c:pt>
                <c:pt idx="5">
                  <c:v>3698.8922785550399</c:v>
                </c:pt>
                <c:pt idx="6">
                  <c:v>6181.71038333856</c:v>
                </c:pt>
                <c:pt idx="7">
                  <c:v>6181.71038333856</c:v>
                </c:pt>
                <c:pt idx="8">
                  <c:v>4864.29669508608</c:v>
                </c:pt>
                <c:pt idx="9">
                  <c:v>4864.29669508608</c:v>
                </c:pt>
                <c:pt idx="10">
                  <c:v>3572.2178854538397</c:v>
                </c:pt>
                <c:pt idx="11">
                  <c:v>3572.2178854538397</c:v>
                </c:pt>
              </c:numCache>
            </c:numRef>
          </c:val>
          <c:smooth val="0"/>
        </c:ser>
        <c:dLbls>
          <c:showLegendKey val="0"/>
          <c:showVal val="0"/>
          <c:showCatName val="0"/>
          <c:showSerName val="0"/>
          <c:showPercent val="0"/>
          <c:showBubbleSize val="0"/>
        </c:dLbls>
        <c:marker val="1"/>
        <c:smooth val="0"/>
        <c:axId val="182843264"/>
        <c:axId val="182844800"/>
      </c:lineChart>
      <c:catAx>
        <c:axId val="182843264"/>
        <c:scaling>
          <c:orientation val="minMax"/>
        </c:scaling>
        <c:delete val="0"/>
        <c:axPos val="b"/>
        <c:majorTickMark val="none"/>
        <c:minorTickMark val="none"/>
        <c:tickLblPos val="nextTo"/>
        <c:crossAx val="182844800"/>
        <c:crosses val="autoZero"/>
        <c:auto val="1"/>
        <c:lblAlgn val="ctr"/>
        <c:lblOffset val="100"/>
        <c:noMultiLvlLbl val="0"/>
      </c:catAx>
      <c:valAx>
        <c:axId val="182844800"/>
        <c:scaling>
          <c:orientation val="minMax"/>
        </c:scaling>
        <c:delete val="0"/>
        <c:axPos val="l"/>
        <c:majorGridlines/>
        <c:title>
          <c:tx>
            <c:rich>
              <a:bodyPr/>
              <a:lstStyle/>
              <a:p>
                <a:pPr>
                  <a:defRPr/>
                </a:pPr>
                <a:r>
                  <a:rPr lang="en-US"/>
                  <a:t>kWh</a:t>
                </a:r>
              </a:p>
            </c:rich>
          </c:tx>
          <c:layout/>
          <c:overlay val="0"/>
        </c:title>
        <c:numFmt formatCode="_(* #,##0.00_);_(* \(#,##0.00\);_(* &quot;-&quot;??_);_(@_)" sourceLinked="1"/>
        <c:majorTickMark val="none"/>
        <c:minorTickMark val="none"/>
        <c:tickLblPos val="nextTo"/>
        <c:crossAx val="182843264"/>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cat>
            <c:strRef>
              <c:f>'Gas Licuado '!$B$9:$B$20</c:f>
              <c:strCache>
                <c:ptCount val="12"/>
                <c:pt idx="0">
                  <c:v>Enero </c:v>
                </c:pt>
                <c:pt idx="1">
                  <c:v>Febrero </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'Gas Licuado '!$D$9:$D$20</c:f>
              <c:numCache>
                <c:formatCode>_(* #,##0.00_);_(* \(#,##0.00\);_(* "-"??_);_(@_)</c:formatCode>
                <c:ptCount val="12"/>
                <c:pt idx="0">
                  <c:v>2898.75</c:v>
                </c:pt>
                <c:pt idx="1">
                  <c:v>3478.5</c:v>
                </c:pt>
                <c:pt idx="2">
                  <c:v>4058.25</c:v>
                </c:pt>
                <c:pt idx="3">
                  <c:v>4638</c:v>
                </c:pt>
                <c:pt idx="4">
                  <c:v>4058.25</c:v>
                </c:pt>
                <c:pt idx="5">
                  <c:v>3478.5</c:v>
                </c:pt>
                <c:pt idx="6">
                  <c:v>2898.75</c:v>
                </c:pt>
                <c:pt idx="7">
                  <c:v>2319</c:v>
                </c:pt>
                <c:pt idx="8">
                  <c:v>1739.25</c:v>
                </c:pt>
                <c:pt idx="9">
                  <c:v>1159.5</c:v>
                </c:pt>
                <c:pt idx="10">
                  <c:v>1739.25</c:v>
                </c:pt>
                <c:pt idx="11">
                  <c:v>2319</c:v>
                </c:pt>
              </c:numCache>
            </c:numRef>
          </c:val>
          <c:smooth val="0"/>
        </c:ser>
        <c:dLbls>
          <c:showLegendKey val="0"/>
          <c:showVal val="0"/>
          <c:showCatName val="0"/>
          <c:showSerName val="0"/>
          <c:showPercent val="0"/>
          <c:showBubbleSize val="0"/>
        </c:dLbls>
        <c:marker val="1"/>
        <c:smooth val="0"/>
        <c:axId val="183658368"/>
        <c:axId val="183659904"/>
      </c:lineChart>
      <c:catAx>
        <c:axId val="183658368"/>
        <c:scaling>
          <c:orientation val="minMax"/>
        </c:scaling>
        <c:delete val="0"/>
        <c:axPos val="b"/>
        <c:majorTickMark val="none"/>
        <c:minorTickMark val="none"/>
        <c:tickLblPos val="nextTo"/>
        <c:crossAx val="183659904"/>
        <c:crosses val="autoZero"/>
        <c:auto val="1"/>
        <c:lblAlgn val="ctr"/>
        <c:lblOffset val="100"/>
        <c:noMultiLvlLbl val="0"/>
      </c:catAx>
      <c:valAx>
        <c:axId val="183659904"/>
        <c:scaling>
          <c:orientation val="minMax"/>
        </c:scaling>
        <c:delete val="0"/>
        <c:axPos val="l"/>
        <c:majorGridlines/>
        <c:title>
          <c:tx>
            <c:rich>
              <a:bodyPr/>
              <a:lstStyle/>
              <a:p>
                <a:pPr>
                  <a:defRPr/>
                </a:pPr>
                <a:r>
                  <a:rPr lang="en-US"/>
                  <a:t>kWh</a:t>
                </a:r>
              </a:p>
            </c:rich>
          </c:tx>
          <c:layout/>
          <c:overlay val="0"/>
        </c:title>
        <c:numFmt formatCode="_(* #,##0.00_);_(* \(#,##0.00\);_(* &quot;-&quot;??_);_(@_)" sourceLinked="1"/>
        <c:majorTickMark val="none"/>
        <c:minorTickMark val="none"/>
        <c:tickLblPos val="nextTo"/>
        <c:crossAx val="18365836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cat>
            <c:strRef>
              <c:f>'Diesel '!$B$9:$B$20</c:f>
              <c:strCache>
                <c:ptCount val="12"/>
                <c:pt idx="0">
                  <c:v>Enero </c:v>
                </c:pt>
                <c:pt idx="1">
                  <c:v>Febrero </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'Diesel '!$D$9:$D$20</c:f>
              <c:numCache>
                <c:formatCode>_(* #,##0.00_);_(* \(#,##0.00\);_(* "-"??_);_(@_)</c:formatCode>
                <c:ptCount val="12"/>
                <c:pt idx="0">
                  <c:v>39900</c:v>
                </c:pt>
                <c:pt idx="1">
                  <c:v>47880</c:v>
                </c:pt>
                <c:pt idx="2">
                  <c:v>55860</c:v>
                </c:pt>
                <c:pt idx="3">
                  <c:v>63840</c:v>
                </c:pt>
                <c:pt idx="4">
                  <c:v>55860</c:v>
                </c:pt>
                <c:pt idx="5">
                  <c:v>47880</c:v>
                </c:pt>
                <c:pt idx="6">
                  <c:v>39900</c:v>
                </c:pt>
                <c:pt idx="7">
                  <c:v>31920</c:v>
                </c:pt>
                <c:pt idx="8">
                  <c:v>23940</c:v>
                </c:pt>
                <c:pt idx="9">
                  <c:v>15960</c:v>
                </c:pt>
                <c:pt idx="10">
                  <c:v>23940</c:v>
                </c:pt>
                <c:pt idx="11">
                  <c:v>31920</c:v>
                </c:pt>
              </c:numCache>
            </c:numRef>
          </c:val>
          <c:smooth val="0"/>
        </c:ser>
        <c:dLbls>
          <c:showLegendKey val="0"/>
          <c:showVal val="0"/>
          <c:showCatName val="0"/>
          <c:showSerName val="0"/>
          <c:showPercent val="0"/>
          <c:showBubbleSize val="0"/>
        </c:dLbls>
        <c:marker val="1"/>
        <c:smooth val="0"/>
        <c:axId val="183675904"/>
        <c:axId val="183702272"/>
      </c:lineChart>
      <c:catAx>
        <c:axId val="183675904"/>
        <c:scaling>
          <c:orientation val="minMax"/>
        </c:scaling>
        <c:delete val="0"/>
        <c:axPos val="b"/>
        <c:majorTickMark val="none"/>
        <c:minorTickMark val="none"/>
        <c:tickLblPos val="nextTo"/>
        <c:crossAx val="183702272"/>
        <c:crosses val="autoZero"/>
        <c:auto val="1"/>
        <c:lblAlgn val="ctr"/>
        <c:lblOffset val="100"/>
        <c:noMultiLvlLbl val="0"/>
      </c:catAx>
      <c:valAx>
        <c:axId val="183702272"/>
        <c:scaling>
          <c:orientation val="minMax"/>
        </c:scaling>
        <c:delete val="0"/>
        <c:axPos val="l"/>
        <c:majorGridlines/>
        <c:title>
          <c:tx>
            <c:rich>
              <a:bodyPr/>
              <a:lstStyle/>
              <a:p>
                <a:pPr>
                  <a:defRPr/>
                </a:pPr>
                <a:r>
                  <a:rPr lang="en-US"/>
                  <a:t>kWh</a:t>
                </a:r>
              </a:p>
            </c:rich>
          </c:tx>
          <c:overlay val="0"/>
        </c:title>
        <c:numFmt formatCode="_(* #,##0.00_);_(* \(#,##0.00\);_(* &quot;-&quot;??_);_(@_)" sourceLinked="1"/>
        <c:majorTickMark val="none"/>
        <c:minorTickMark val="none"/>
        <c:tickLblPos val="nextTo"/>
        <c:crossAx val="183675904"/>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cat>
            <c:strRef>
              <c:f>Electricidad!$B$24:$B$35</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Electricidad!$L$40:$L$51</c:f>
              <c:numCache>
                <c:formatCode>_-"$"\ * #,##0_-;\-"$"\ * #,##0_-;_-"$"\ * "-"??_-;_-@_-</c:formatCode>
                <c:ptCount val="12"/>
                <c:pt idx="0">
                  <c:v>21656348.279999997</c:v>
                </c:pt>
                <c:pt idx="1">
                  <c:v>21365171.939999998</c:v>
                </c:pt>
                <c:pt idx="2">
                  <c:v>24942948.59</c:v>
                </c:pt>
                <c:pt idx="3">
                  <c:v>18325576.359999999</c:v>
                </c:pt>
                <c:pt idx="4">
                  <c:v>16415195.58</c:v>
                </c:pt>
                <c:pt idx="5">
                  <c:v>18325576.359999999</c:v>
                </c:pt>
                <c:pt idx="6">
                  <c:v>18325576.359999999</c:v>
                </c:pt>
                <c:pt idx="7">
                  <c:v>18325576.359999999</c:v>
                </c:pt>
                <c:pt idx="8">
                  <c:v>18325576.359999999</c:v>
                </c:pt>
                <c:pt idx="9">
                  <c:v>24568098.59</c:v>
                </c:pt>
                <c:pt idx="10">
                  <c:v>24276923.439999998</c:v>
                </c:pt>
                <c:pt idx="11">
                  <c:v>23403399.18</c:v>
                </c:pt>
              </c:numCache>
            </c:numRef>
          </c:val>
          <c:smooth val="0"/>
        </c:ser>
        <c:dLbls>
          <c:showLegendKey val="0"/>
          <c:showVal val="0"/>
          <c:showCatName val="0"/>
          <c:showSerName val="0"/>
          <c:showPercent val="0"/>
          <c:showBubbleSize val="0"/>
        </c:dLbls>
        <c:marker val="1"/>
        <c:smooth val="0"/>
        <c:axId val="183730560"/>
        <c:axId val="183732096"/>
      </c:lineChart>
      <c:catAx>
        <c:axId val="183730560"/>
        <c:scaling>
          <c:orientation val="minMax"/>
        </c:scaling>
        <c:delete val="0"/>
        <c:axPos val="b"/>
        <c:majorTickMark val="none"/>
        <c:minorTickMark val="none"/>
        <c:tickLblPos val="nextTo"/>
        <c:crossAx val="183732096"/>
        <c:crosses val="autoZero"/>
        <c:auto val="1"/>
        <c:lblAlgn val="ctr"/>
        <c:lblOffset val="100"/>
        <c:noMultiLvlLbl val="0"/>
      </c:catAx>
      <c:valAx>
        <c:axId val="183732096"/>
        <c:scaling>
          <c:orientation val="minMax"/>
        </c:scaling>
        <c:delete val="0"/>
        <c:axPos val="l"/>
        <c:majorGridlines/>
        <c:numFmt formatCode="_-&quot;$&quot;\ * #,##0_-;\-&quot;$&quot;\ * #,##0_-;_-&quot;$&quot;\ * &quot;-&quot;??_-;_-@_-" sourceLinked="1"/>
        <c:majorTickMark val="none"/>
        <c:minorTickMark val="none"/>
        <c:tickLblPos val="nextTo"/>
        <c:crossAx val="183730560"/>
        <c:crosses val="autoZero"/>
        <c:crossBetween val="between"/>
      </c:valAx>
    </c:plotArea>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cat>
            <c:strRef>
              <c:f>'Gas Natural  '!$B$12:$B$23</c:f>
              <c:strCache>
                <c:ptCount val="12"/>
                <c:pt idx="0">
                  <c:v>Enero </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'Gas Natural  '!$M$12:$M$23</c:f>
              <c:numCache>
                <c:formatCode>_-"$"\ * #,##0_-;\-"$"\ * #,##0_-;_-"$"\ * "-"??_-;_-@_-</c:formatCode>
                <c:ptCount val="12"/>
                <c:pt idx="0">
                  <c:v>315873.59999999998</c:v>
                </c:pt>
                <c:pt idx="1">
                  <c:v>315873.59999999998</c:v>
                </c:pt>
                <c:pt idx="2">
                  <c:v>492660</c:v>
                </c:pt>
                <c:pt idx="3">
                  <c:v>492660</c:v>
                </c:pt>
                <c:pt idx="4">
                  <c:v>512366.39999999997</c:v>
                </c:pt>
                <c:pt idx="5">
                  <c:v>512366.39999999997</c:v>
                </c:pt>
                <c:pt idx="6">
                  <c:v>836522.39999999991</c:v>
                </c:pt>
                <c:pt idx="7">
                  <c:v>836522.39999999991</c:v>
                </c:pt>
                <c:pt idx="8">
                  <c:v>5858.0000000000009</c:v>
                </c:pt>
                <c:pt idx="9">
                  <c:v>660592.79999999993</c:v>
                </c:pt>
                <c:pt idx="10">
                  <c:v>482949.6</c:v>
                </c:pt>
                <c:pt idx="11">
                  <c:v>482949.6</c:v>
                </c:pt>
              </c:numCache>
            </c:numRef>
          </c:val>
          <c:smooth val="0"/>
        </c:ser>
        <c:dLbls>
          <c:showLegendKey val="0"/>
          <c:showVal val="0"/>
          <c:showCatName val="0"/>
          <c:showSerName val="0"/>
          <c:showPercent val="0"/>
          <c:showBubbleSize val="0"/>
        </c:dLbls>
        <c:marker val="1"/>
        <c:smooth val="0"/>
        <c:axId val="183755520"/>
        <c:axId val="183757056"/>
      </c:lineChart>
      <c:catAx>
        <c:axId val="183755520"/>
        <c:scaling>
          <c:orientation val="minMax"/>
        </c:scaling>
        <c:delete val="0"/>
        <c:axPos val="b"/>
        <c:majorTickMark val="none"/>
        <c:minorTickMark val="none"/>
        <c:tickLblPos val="nextTo"/>
        <c:crossAx val="183757056"/>
        <c:crosses val="autoZero"/>
        <c:auto val="1"/>
        <c:lblAlgn val="ctr"/>
        <c:lblOffset val="100"/>
        <c:noMultiLvlLbl val="0"/>
      </c:catAx>
      <c:valAx>
        <c:axId val="183757056"/>
        <c:scaling>
          <c:orientation val="minMax"/>
        </c:scaling>
        <c:delete val="0"/>
        <c:axPos val="l"/>
        <c:majorGridlines/>
        <c:numFmt formatCode="_-&quot;$&quot;\ * #,##0_-;\-&quot;$&quot;\ * #,##0_-;_-&quot;$&quot;\ * &quot;-&quot;??_-;_-@_-" sourceLinked="1"/>
        <c:majorTickMark val="none"/>
        <c:minorTickMark val="none"/>
        <c:tickLblPos val="nextTo"/>
        <c:crossAx val="183755520"/>
        <c:crosses val="autoZero"/>
        <c:crossBetween val="between"/>
      </c:valAx>
    </c:plotArea>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C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marker>
            <c:symbol val="none"/>
          </c:marker>
          <c:cat>
            <c:strRef>
              <c:f>'Gas Licuado '!$B$9:$B$20</c:f>
              <c:strCache>
                <c:ptCount val="12"/>
                <c:pt idx="0">
                  <c:v>Enero </c:v>
                </c:pt>
                <c:pt idx="1">
                  <c:v>Febrero </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'Gas Licuado '!$E$9:$E$20</c:f>
              <c:numCache>
                <c:formatCode>_-"$"\ * #,##0_-;\-"$"\ * #,##0_-;_-"$"\ * "-"??_-;_-@_-</c:formatCode>
                <c:ptCount val="12"/>
                <c:pt idx="0">
                  <c:v>251625</c:v>
                </c:pt>
                <c:pt idx="1">
                  <c:v>301950</c:v>
                </c:pt>
                <c:pt idx="2">
                  <c:v>352275</c:v>
                </c:pt>
                <c:pt idx="3">
                  <c:v>402600</c:v>
                </c:pt>
                <c:pt idx="4">
                  <c:v>352275</c:v>
                </c:pt>
                <c:pt idx="5">
                  <c:v>301950</c:v>
                </c:pt>
                <c:pt idx="6">
                  <c:v>251625</c:v>
                </c:pt>
                <c:pt idx="7">
                  <c:v>201300</c:v>
                </c:pt>
                <c:pt idx="8">
                  <c:v>150975</c:v>
                </c:pt>
                <c:pt idx="9">
                  <c:v>100650</c:v>
                </c:pt>
                <c:pt idx="10">
                  <c:v>150975</c:v>
                </c:pt>
                <c:pt idx="11">
                  <c:v>201300</c:v>
                </c:pt>
              </c:numCache>
            </c:numRef>
          </c:val>
          <c:smooth val="0"/>
        </c:ser>
        <c:dLbls>
          <c:showLegendKey val="0"/>
          <c:showVal val="0"/>
          <c:showCatName val="0"/>
          <c:showSerName val="0"/>
          <c:showPercent val="0"/>
          <c:showBubbleSize val="0"/>
        </c:dLbls>
        <c:marker val="1"/>
        <c:smooth val="0"/>
        <c:axId val="183776768"/>
        <c:axId val="183778304"/>
      </c:lineChart>
      <c:catAx>
        <c:axId val="183776768"/>
        <c:scaling>
          <c:orientation val="minMax"/>
        </c:scaling>
        <c:delete val="0"/>
        <c:axPos val="b"/>
        <c:majorTickMark val="none"/>
        <c:minorTickMark val="none"/>
        <c:tickLblPos val="nextTo"/>
        <c:crossAx val="183778304"/>
        <c:crosses val="autoZero"/>
        <c:auto val="1"/>
        <c:lblAlgn val="ctr"/>
        <c:lblOffset val="100"/>
        <c:noMultiLvlLbl val="0"/>
      </c:catAx>
      <c:valAx>
        <c:axId val="183778304"/>
        <c:scaling>
          <c:orientation val="minMax"/>
        </c:scaling>
        <c:delete val="0"/>
        <c:axPos val="l"/>
        <c:majorGridlines/>
        <c:numFmt formatCode="_-&quot;$&quot;\ * #,##0_-;\-&quot;$&quot;\ * #,##0_-;_-&quot;$&quot;\ * &quot;-&quot;??_-;_-@_-" sourceLinked="1"/>
        <c:majorTickMark val="none"/>
        <c:minorTickMark val="none"/>
        <c:tickLblPos val="nextTo"/>
        <c:crossAx val="183776768"/>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0.xml"/><Relationship Id="rId3" Type="http://schemas.openxmlformats.org/officeDocument/2006/relationships/chart" Target="../charts/chart5.xml"/><Relationship Id="rId7" Type="http://schemas.openxmlformats.org/officeDocument/2006/relationships/chart" Target="../charts/chart9.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10" Type="http://schemas.openxmlformats.org/officeDocument/2006/relationships/chart" Target="../charts/chart12.xml"/><Relationship Id="rId4" Type="http://schemas.openxmlformats.org/officeDocument/2006/relationships/chart" Target="../charts/chart6.xml"/><Relationship Id="rId9" Type="http://schemas.openxmlformats.org/officeDocument/2006/relationships/chart" Target="../charts/chart11.xml"/></Relationships>
</file>

<file path=xl/drawings/_rels/drawing5.xml.rels><?xml version="1.0" encoding="UTF-8" standalone="yes"?>
<Relationships xmlns="http://schemas.openxmlformats.org/package/2006/relationships"><Relationship Id="rId8" Type="http://schemas.openxmlformats.org/officeDocument/2006/relationships/chart" Target="../charts/chart20.xml"/><Relationship Id="rId3" Type="http://schemas.openxmlformats.org/officeDocument/2006/relationships/chart" Target="../charts/chart15.xml"/><Relationship Id="rId7" Type="http://schemas.openxmlformats.org/officeDocument/2006/relationships/chart" Target="../charts/chart19.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8.xml"/><Relationship Id="rId5" Type="http://schemas.openxmlformats.org/officeDocument/2006/relationships/chart" Target="../charts/chart17.xml"/><Relationship Id="rId4" Type="http://schemas.openxmlformats.org/officeDocument/2006/relationships/chart" Target="../charts/chart16.xml"/><Relationship Id="rId9" Type="http://schemas.openxmlformats.org/officeDocument/2006/relationships/chart" Target="../charts/chart21.xml"/></Relationships>
</file>

<file path=xl/drawings/drawing1.xml><?xml version="1.0" encoding="utf-8"?>
<xdr:wsDr xmlns:xdr="http://schemas.openxmlformats.org/drawingml/2006/spreadsheetDrawing" xmlns:a="http://schemas.openxmlformats.org/drawingml/2006/main">
  <xdr:twoCellAnchor>
    <xdr:from>
      <xdr:col>9</xdr:col>
      <xdr:colOff>57150</xdr:colOff>
      <xdr:row>24</xdr:row>
      <xdr:rowOff>0</xdr:rowOff>
    </xdr:from>
    <xdr:to>
      <xdr:col>15</xdr:col>
      <xdr:colOff>914400</xdr:colOff>
      <xdr:row>33</xdr:row>
      <xdr:rowOff>1781175</xdr:rowOff>
    </xdr:to>
    <xdr:graphicFrame macro="">
      <xdr:nvGraphicFramePr>
        <xdr:cNvPr id="4" name="3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9525</xdr:colOff>
      <xdr:row>35</xdr:row>
      <xdr:rowOff>28574</xdr:rowOff>
    </xdr:from>
    <xdr:to>
      <xdr:col>17</xdr:col>
      <xdr:colOff>28575</xdr:colOff>
      <xdr:row>57</xdr:row>
      <xdr:rowOff>142874</xdr:rowOff>
    </xdr:to>
    <xdr:graphicFrame macro="">
      <xdr:nvGraphicFramePr>
        <xdr:cNvPr id="6" name="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726281</xdr:colOff>
      <xdr:row>0</xdr:row>
      <xdr:rowOff>190500</xdr:rowOff>
    </xdr:from>
    <xdr:to>
      <xdr:col>25</xdr:col>
      <xdr:colOff>330994</xdr:colOff>
      <xdr:row>18</xdr:row>
      <xdr:rowOff>290512</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71706" y="190500"/>
          <a:ext cx="8748713" cy="64150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24</xdr:col>
      <xdr:colOff>500062</xdr:colOff>
      <xdr:row>1</xdr:row>
      <xdr:rowOff>238124</xdr:rowOff>
    </xdr:from>
    <xdr:to>
      <xdr:col>26</xdr:col>
      <xdr:colOff>428624</xdr:colOff>
      <xdr:row>2</xdr:row>
      <xdr:rowOff>184023</xdr:rowOff>
    </xdr:to>
    <xdr:sp macro="" textlink="">
      <xdr:nvSpPr>
        <xdr:cNvPr id="3" name="2 Llamada rectangular"/>
        <xdr:cNvSpPr/>
      </xdr:nvSpPr>
      <xdr:spPr>
        <a:xfrm>
          <a:off x="29427487" y="447674"/>
          <a:ext cx="1452562" cy="345949"/>
        </a:xfrm>
        <a:prstGeom prst="wedgeRectCallout">
          <a:avLst>
            <a:gd name="adj1" fmla="val -26571"/>
            <a:gd name="adj2" fmla="val 109640"/>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Número de cliente</a:t>
          </a:r>
        </a:p>
      </xdr:txBody>
    </xdr:sp>
    <xdr:clientData/>
  </xdr:twoCellAnchor>
  <xdr:twoCellAnchor>
    <xdr:from>
      <xdr:col>15</xdr:col>
      <xdr:colOff>414336</xdr:colOff>
      <xdr:row>10</xdr:row>
      <xdr:rowOff>440529</xdr:rowOff>
    </xdr:from>
    <xdr:to>
      <xdr:col>19</xdr:col>
      <xdr:colOff>23811</xdr:colOff>
      <xdr:row>14</xdr:row>
      <xdr:rowOff>300704</xdr:rowOff>
    </xdr:to>
    <xdr:sp macro="" textlink="">
      <xdr:nvSpPr>
        <xdr:cNvPr id="4" name="3 Llamada rectangular"/>
        <xdr:cNvSpPr/>
      </xdr:nvSpPr>
      <xdr:spPr>
        <a:xfrm>
          <a:off x="15963899" y="4143373"/>
          <a:ext cx="2657475" cy="1157956"/>
        </a:xfrm>
        <a:prstGeom prst="wedgeRectCallout">
          <a:avLst>
            <a:gd name="adj1" fmla="val -35538"/>
            <a:gd name="adj2" fmla="val -94123"/>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Tarifa contratada</a:t>
          </a:r>
        </a:p>
        <a:p>
          <a:pPr algn="ctr"/>
          <a:r>
            <a:rPr lang="es-CL" sz="1200" b="1" i="0" baseline="0">
              <a:solidFill>
                <a:schemeClr val="tx1"/>
              </a:solidFill>
            </a:rPr>
            <a:t>Demanda contratada</a:t>
          </a:r>
        </a:p>
        <a:p>
          <a:pPr algn="ctr"/>
          <a:r>
            <a:rPr lang="es-CL" sz="1200" b="1" i="0" baseline="0">
              <a:solidFill>
                <a:schemeClr val="tx1"/>
              </a:solidFill>
            </a:rPr>
            <a:t>Fecha término de contrato</a:t>
          </a:r>
        </a:p>
        <a:p>
          <a:pPr algn="ctr"/>
          <a:r>
            <a:rPr lang="es-CL" sz="1200" b="1" i="0" baseline="0">
              <a:solidFill>
                <a:schemeClr val="tx1"/>
              </a:solidFill>
            </a:rPr>
            <a:t>Demanda máxima</a:t>
          </a:r>
        </a:p>
        <a:p>
          <a:pPr algn="ctr"/>
          <a:r>
            <a:rPr lang="es-CL" sz="1200" b="1" i="0" baseline="0">
              <a:solidFill>
                <a:schemeClr val="tx1"/>
              </a:solidFill>
            </a:rPr>
            <a:t>Demanda hora punta</a:t>
          </a:r>
        </a:p>
      </xdr:txBody>
    </xdr:sp>
    <xdr:clientData/>
  </xdr:twoCellAnchor>
  <xdr:twoCellAnchor>
    <xdr:from>
      <xdr:col>17</xdr:col>
      <xdr:colOff>404812</xdr:colOff>
      <xdr:row>3</xdr:row>
      <xdr:rowOff>376239</xdr:rowOff>
    </xdr:from>
    <xdr:to>
      <xdr:col>20</xdr:col>
      <xdr:colOff>304800</xdr:colOff>
      <xdr:row>3</xdr:row>
      <xdr:rowOff>785812</xdr:rowOff>
    </xdr:to>
    <xdr:sp macro="" textlink="">
      <xdr:nvSpPr>
        <xdr:cNvPr id="5" name="4 Llamada rectangular"/>
        <xdr:cNvSpPr/>
      </xdr:nvSpPr>
      <xdr:spPr>
        <a:xfrm>
          <a:off x="17478375" y="1173958"/>
          <a:ext cx="2185988" cy="409573"/>
        </a:xfrm>
        <a:prstGeom prst="wedgeRectCallout">
          <a:avLst>
            <a:gd name="adj1" fmla="val -20304"/>
            <a:gd name="adj2" fmla="val -110347"/>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Distribuidora electricidad</a:t>
          </a:r>
        </a:p>
      </xdr:txBody>
    </xdr:sp>
    <xdr:clientData/>
  </xdr:twoCellAnchor>
  <xdr:twoCellAnchor editAs="oneCell">
    <xdr:from>
      <xdr:col>14</xdr:col>
      <xdr:colOff>0</xdr:colOff>
      <xdr:row>19</xdr:row>
      <xdr:rowOff>0</xdr:rowOff>
    </xdr:from>
    <xdr:to>
      <xdr:col>25</xdr:col>
      <xdr:colOff>433388</xdr:colOff>
      <xdr:row>47</xdr:row>
      <xdr:rowOff>145256</xdr:rowOff>
    </xdr:to>
    <xdr:pic>
      <xdr:nvPicPr>
        <xdr:cNvPr id="10" name="9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787563" y="7036594"/>
          <a:ext cx="8815388" cy="65746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7139</xdr:colOff>
      <xdr:row>23</xdr:row>
      <xdr:rowOff>78582</xdr:rowOff>
    </xdr:from>
    <xdr:to>
      <xdr:col>24</xdr:col>
      <xdr:colOff>226216</xdr:colOff>
      <xdr:row>26</xdr:row>
      <xdr:rowOff>166688</xdr:rowOff>
    </xdr:to>
    <xdr:sp macro="" textlink="">
      <xdr:nvSpPr>
        <xdr:cNvPr id="11" name="10 Llamada rectangular"/>
        <xdr:cNvSpPr/>
      </xdr:nvSpPr>
      <xdr:spPr>
        <a:xfrm>
          <a:off x="20890702" y="8520113"/>
          <a:ext cx="1743077" cy="659606"/>
        </a:xfrm>
        <a:prstGeom prst="wedgeRectCallout">
          <a:avLst>
            <a:gd name="adj1" fmla="val -20995"/>
            <a:gd name="adj2" fmla="val -85192"/>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Lectura actual y anterior</a:t>
          </a:r>
        </a:p>
        <a:p>
          <a:pPr algn="ctr"/>
          <a:r>
            <a:rPr lang="es-CL" sz="1200" b="1" i="0" baseline="0">
              <a:solidFill>
                <a:schemeClr val="tx1"/>
              </a:solidFill>
            </a:rPr>
            <a:t>Consumo de reactivos</a:t>
          </a:r>
        </a:p>
        <a:p>
          <a:pPr algn="ctr"/>
          <a:r>
            <a:rPr lang="es-CL" sz="1200" b="1" i="0" baseline="0">
              <a:solidFill>
                <a:schemeClr val="tx1"/>
              </a:solidFill>
            </a:rPr>
            <a:t>Número medidor</a:t>
          </a:r>
        </a:p>
      </xdr:txBody>
    </xdr:sp>
    <xdr:clientData/>
  </xdr:twoCellAnchor>
  <xdr:twoCellAnchor>
    <xdr:from>
      <xdr:col>14</xdr:col>
      <xdr:colOff>47625</xdr:colOff>
      <xdr:row>24</xdr:row>
      <xdr:rowOff>166685</xdr:rowOff>
    </xdr:from>
    <xdr:to>
      <xdr:col>17</xdr:col>
      <xdr:colOff>107155</xdr:colOff>
      <xdr:row>38</xdr:row>
      <xdr:rowOff>452436</xdr:rowOff>
    </xdr:to>
    <xdr:sp macro="" textlink="">
      <xdr:nvSpPr>
        <xdr:cNvPr id="12" name="11 Llamada rectangular"/>
        <xdr:cNvSpPr/>
      </xdr:nvSpPr>
      <xdr:spPr>
        <a:xfrm>
          <a:off x="14835188" y="8798716"/>
          <a:ext cx="2345530" cy="2762251"/>
        </a:xfrm>
        <a:prstGeom prst="wedgeRectCallout">
          <a:avLst>
            <a:gd name="adj1" fmla="val 31604"/>
            <a:gd name="adj2" fmla="val -65967"/>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Cargo fijo</a:t>
          </a:r>
        </a:p>
        <a:p>
          <a:pPr algn="ctr"/>
          <a:r>
            <a:rPr lang="es-CL" sz="1200" b="1" i="0" baseline="0">
              <a:solidFill>
                <a:schemeClr val="tx1"/>
              </a:solidFill>
            </a:rPr>
            <a:t>Consumo energía activa</a:t>
          </a:r>
        </a:p>
        <a:p>
          <a:pPr algn="ctr"/>
          <a:r>
            <a:rPr lang="es-CL" sz="1200" b="1" i="0" baseline="0">
              <a:solidFill>
                <a:schemeClr val="tx1"/>
              </a:solidFill>
            </a:rPr>
            <a:t>Demanda suministrada leída</a:t>
          </a:r>
        </a:p>
        <a:p>
          <a:pPr algn="ctr"/>
          <a:r>
            <a:rPr lang="es-CL" sz="1200" b="1" i="0" baseline="0">
              <a:solidFill>
                <a:schemeClr val="tx1"/>
              </a:solidFill>
            </a:rPr>
            <a:t>Demanda hora punta leída</a:t>
          </a:r>
        </a:p>
        <a:p>
          <a:pPr algn="ctr"/>
          <a:r>
            <a:rPr lang="es-CL" sz="1200" b="1" i="0" baseline="0">
              <a:solidFill>
                <a:schemeClr val="tx1"/>
              </a:solidFill>
            </a:rPr>
            <a:t>Demanda suministrada facturada</a:t>
          </a:r>
        </a:p>
        <a:p>
          <a:pPr algn="ctr"/>
          <a:r>
            <a:rPr lang="es-CL" sz="1200" b="1" i="0" baseline="0">
              <a:solidFill>
                <a:schemeClr val="tx1"/>
              </a:solidFill>
            </a:rPr>
            <a:t>Costo de energía</a:t>
          </a:r>
        </a:p>
        <a:p>
          <a:pPr algn="ctr"/>
          <a:r>
            <a:rPr lang="es-CL" sz="1200" b="1" i="0" baseline="0">
              <a:solidFill>
                <a:schemeClr val="tx1"/>
              </a:solidFill>
            </a:rPr>
            <a:t>Costo de transporte</a:t>
          </a:r>
        </a:p>
        <a:p>
          <a:pPr algn="ctr"/>
          <a:r>
            <a:rPr lang="es-CL" sz="1200" b="1" i="0" baseline="0">
              <a:solidFill>
                <a:schemeClr val="tx1"/>
              </a:solidFill>
            </a:rPr>
            <a:t>Costo de servicio público</a:t>
          </a:r>
        </a:p>
        <a:p>
          <a:pPr algn="ctr"/>
          <a:r>
            <a:rPr lang="es-CL" sz="1200" b="1" i="0" baseline="0">
              <a:solidFill>
                <a:schemeClr val="tx1"/>
              </a:solidFill>
            </a:rPr>
            <a:t>Costo demanda suministrada</a:t>
          </a:r>
        </a:p>
        <a:p>
          <a:pPr algn="ctr"/>
          <a:r>
            <a:rPr lang="es-CL" sz="1200" b="1" i="0" baseline="0">
              <a:solidFill>
                <a:schemeClr val="tx1"/>
              </a:solidFill>
            </a:rPr>
            <a:t>Costo demanda horas punta</a:t>
          </a:r>
        </a:p>
        <a:p>
          <a:pPr algn="ctr"/>
          <a:r>
            <a:rPr lang="es-CL" sz="1200" b="1" i="0" baseline="0">
              <a:solidFill>
                <a:schemeClr val="tx1"/>
              </a:solidFill>
            </a:rPr>
            <a:t>Recargo mal factor de potencia</a:t>
          </a:r>
        </a:p>
        <a:p>
          <a:pPr algn="ctr"/>
          <a:r>
            <a:rPr lang="es-CL" sz="1200" b="1" i="0" baseline="0">
              <a:solidFill>
                <a:schemeClr val="tx1"/>
              </a:solidFill>
            </a:rPr>
            <a:t>Otros cargos y descuentos</a:t>
          </a:r>
        </a:p>
      </xdr:txBody>
    </xdr:sp>
    <xdr:clientData/>
  </xdr:twoCellAnchor>
  <xdr:twoCellAnchor>
    <xdr:from>
      <xdr:col>17</xdr:col>
      <xdr:colOff>245267</xdr:colOff>
      <xdr:row>38</xdr:row>
      <xdr:rowOff>542928</xdr:rowOff>
    </xdr:from>
    <xdr:to>
      <xdr:col>19</xdr:col>
      <xdr:colOff>173829</xdr:colOff>
      <xdr:row>39</xdr:row>
      <xdr:rowOff>142876</xdr:rowOff>
    </xdr:to>
    <xdr:sp macro="" textlink="">
      <xdr:nvSpPr>
        <xdr:cNvPr id="13" name="12 Llamada rectangular"/>
        <xdr:cNvSpPr/>
      </xdr:nvSpPr>
      <xdr:spPr>
        <a:xfrm>
          <a:off x="17318830" y="11651459"/>
          <a:ext cx="1452562" cy="242886"/>
        </a:xfrm>
        <a:prstGeom prst="wedgeRectCallout">
          <a:avLst>
            <a:gd name="adj1" fmla="val 36544"/>
            <a:gd name="adj2" fmla="val -126061"/>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Total a pagar</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750093</xdr:colOff>
      <xdr:row>1</xdr:row>
      <xdr:rowOff>-1</xdr:rowOff>
    </xdr:from>
    <xdr:to>
      <xdr:col>25</xdr:col>
      <xdr:colOff>7143</xdr:colOff>
      <xdr:row>27</xdr:row>
      <xdr:rowOff>35719</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80468" y="214312"/>
          <a:ext cx="7639050" cy="59769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726282</xdr:colOff>
      <xdr:row>26</xdr:row>
      <xdr:rowOff>190529</xdr:rowOff>
    </xdr:from>
    <xdr:to>
      <xdr:col>25</xdr:col>
      <xdr:colOff>12282</xdr:colOff>
      <xdr:row>58</xdr:row>
      <xdr:rowOff>33971</xdr:rowOff>
    </xdr:to>
    <xdr:pic>
      <xdr:nvPicPr>
        <xdr:cNvPr id="3"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6657" y="6262717"/>
          <a:ext cx="7668000" cy="5963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142875</xdr:colOff>
      <xdr:row>0</xdr:row>
      <xdr:rowOff>107157</xdr:rowOff>
    </xdr:from>
    <xdr:to>
      <xdr:col>21</xdr:col>
      <xdr:colOff>542924</xdr:colOff>
      <xdr:row>1</xdr:row>
      <xdr:rowOff>302417</xdr:rowOff>
    </xdr:to>
    <xdr:sp macro="" textlink="">
      <xdr:nvSpPr>
        <xdr:cNvPr id="4" name="3 Llamada rectangular"/>
        <xdr:cNvSpPr/>
      </xdr:nvSpPr>
      <xdr:spPr>
        <a:xfrm>
          <a:off x="15954375" y="107157"/>
          <a:ext cx="1162049" cy="409573"/>
        </a:xfrm>
        <a:prstGeom prst="wedgeRectCallout">
          <a:avLst>
            <a:gd name="adj1" fmla="val 37430"/>
            <a:gd name="adj2" fmla="val 107677"/>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Distribuidora </a:t>
          </a:r>
        </a:p>
      </xdr:txBody>
    </xdr:sp>
    <xdr:clientData/>
  </xdr:twoCellAnchor>
  <xdr:twoCellAnchor>
    <xdr:from>
      <xdr:col>25</xdr:col>
      <xdr:colOff>176213</xdr:colOff>
      <xdr:row>1</xdr:row>
      <xdr:rowOff>283369</xdr:rowOff>
    </xdr:from>
    <xdr:to>
      <xdr:col>27</xdr:col>
      <xdr:colOff>523875</xdr:colOff>
      <xdr:row>3</xdr:row>
      <xdr:rowOff>121442</xdr:rowOff>
    </xdr:to>
    <xdr:sp macro="" textlink="">
      <xdr:nvSpPr>
        <xdr:cNvPr id="5" name="4 Llamada rectangular"/>
        <xdr:cNvSpPr/>
      </xdr:nvSpPr>
      <xdr:spPr>
        <a:xfrm>
          <a:off x="19797713" y="497682"/>
          <a:ext cx="1871662" cy="409573"/>
        </a:xfrm>
        <a:prstGeom prst="wedgeRectCallout">
          <a:avLst>
            <a:gd name="adj1" fmla="val -70152"/>
            <a:gd name="adj2" fmla="val 122212"/>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Número de cliente </a:t>
          </a:r>
        </a:p>
      </xdr:txBody>
    </xdr:sp>
    <xdr:clientData/>
  </xdr:twoCellAnchor>
  <xdr:twoCellAnchor>
    <xdr:from>
      <xdr:col>15</xdr:col>
      <xdr:colOff>547687</xdr:colOff>
      <xdr:row>7</xdr:row>
      <xdr:rowOff>54770</xdr:rowOff>
    </xdr:from>
    <xdr:to>
      <xdr:col>16</xdr:col>
      <xdr:colOff>342900</xdr:colOff>
      <xdr:row>9</xdr:row>
      <xdr:rowOff>83343</xdr:rowOff>
    </xdr:to>
    <xdr:sp macro="" textlink="">
      <xdr:nvSpPr>
        <xdr:cNvPr id="6" name="5 Llamada rectangular"/>
        <xdr:cNvSpPr/>
      </xdr:nvSpPr>
      <xdr:spPr>
        <a:xfrm>
          <a:off x="12549187" y="1876426"/>
          <a:ext cx="557213" cy="409573"/>
        </a:xfrm>
        <a:prstGeom prst="wedgeRectCallout">
          <a:avLst>
            <a:gd name="adj1" fmla="val 35952"/>
            <a:gd name="adj2" fmla="val 165817"/>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Tarifa</a:t>
          </a:r>
        </a:p>
      </xdr:txBody>
    </xdr:sp>
    <xdr:clientData/>
  </xdr:twoCellAnchor>
  <xdr:twoCellAnchor>
    <xdr:from>
      <xdr:col>13</xdr:col>
      <xdr:colOff>107157</xdr:colOff>
      <xdr:row>7</xdr:row>
      <xdr:rowOff>52389</xdr:rowOff>
    </xdr:from>
    <xdr:to>
      <xdr:col>15</xdr:col>
      <xdr:colOff>483394</xdr:colOff>
      <xdr:row>9</xdr:row>
      <xdr:rowOff>80962</xdr:rowOff>
    </xdr:to>
    <xdr:sp macro="" textlink="">
      <xdr:nvSpPr>
        <xdr:cNvPr id="7" name="6 Llamada rectangular"/>
        <xdr:cNvSpPr/>
      </xdr:nvSpPr>
      <xdr:spPr>
        <a:xfrm>
          <a:off x="11108532" y="1874045"/>
          <a:ext cx="1376362" cy="409573"/>
        </a:xfrm>
        <a:prstGeom prst="wedgeRectCallout">
          <a:avLst>
            <a:gd name="adj1" fmla="val 53689"/>
            <a:gd name="adj2" fmla="val 183259"/>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Tipo de gas</a:t>
          </a:r>
        </a:p>
      </xdr:txBody>
    </xdr:sp>
    <xdr:clientData/>
  </xdr:twoCellAnchor>
  <xdr:twoCellAnchor>
    <xdr:from>
      <xdr:col>16</xdr:col>
      <xdr:colOff>461963</xdr:colOff>
      <xdr:row>7</xdr:row>
      <xdr:rowOff>38101</xdr:rowOff>
    </xdr:from>
    <xdr:to>
      <xdr:col>18</xdr:col>
      <xdr:colOff>314325</xdr:colOff>
      <xdr:row>9</xdr:row>
      <xdr:rowOff>66674</xdr:rowOff>
    </xdr:to>
    <xdr:sp macro="" textlink="">
      <xdr:nvSpPr>
        <xdr:cNvPr id="8" name="7 Llamada rectangular"/>
        <xdr:cNvSpPr/>
      </xdr:nvSpPr>
      <xdr:spPr>
        <a:xfrm>
          <a:off x="13225463" y="1859757"/>
          <a:ext cx="1376362" cy="409573"/>
        </a:xfrm>
        <a:prstGeom prst="wedgeRectCallout">
          <a:avLst>
            <a:gd name="adj1" fmla="val -37141"/>
            <a:gd name="adj2" fmla="val 189073"/>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Poder calorífico</a:t>
          </a:r>
        </a:p>
      </xdr:txBody>
    </xdr:sp>
    <xdr:clientData/>
  </xdr:twoCellAnchor>
  <xdr:twoCellAnchor>
    <xdr:from>
      <xdr:col>21</xdr:col>
      <xdr:colOff>114300</xdr:colOff>
      <xdr:row>28</xdr:row>
      <xdr:rowOff>83344</xdr:rowOff>
    </xdr:from>
    <xdr:to>
      <xdr:col>22</xdr:col>
      <xdr:colOff>728662</xdr:colOff>
      <xdr:row>30</xdr:row>
      <xdr:rowOff>111917</xdr:rowOff>
    </xdr:to>
    <xdr:sp macro="" textlink="">
      <xdr:nvSpPr>
        <xdr:cNvPr id="9" name="8 Llamada rectangular"/>
        <xdr:cNvSpPr/>
      </xdr:nvSpPr>
      <xdr:spPr>
        <a:xfrm>
          <a:off x="16687800" y="6441282"/>
          <a:ext cx="1376362" cy="409573"/>
        </a:xfrm>
        <a:prstGeom prst="wedgeRectCallout">
          <a:avLst>
            <a:gd name="adj1" fmla="val 53689"/>
            <a:gd name="adj2" fmla="val 183259"/>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Consumo leído</a:t>
          </a:r>
        </a:p>
      </xdr:txBody>
    </xdr:sp>
    <xdr:clientData/>
  </xdr:twoCellAnchor>
  <xdr:twoCellAnchor>
    <xdr:from>
      <xdr:col>21</xdr:col>
      <xdr:colOff>619124</xdr:colOff>
      <xdr:row>25</xdr:row>
      <xdr:rowOff>164307</xdr:rowOff>
    </xdr:from>
    <xdr:to>
      <xdr:col>24</xdr:col>
      <xdr:colOff>380999</xdr:colOff>
      <xdr:row>27</xdr:row>
      <xdr:rowOff>180974</xdr:rowOff>
    </xdr:to>
    <xdr:sp macro="" textlink="">
      <xdr:nvSpPr>
        <xdr:cNvPr id="10" name="9 Llamada rectangular"/>
        <xdr:cNvSpPr/>
      </xdr:nvSpPr>
      <xdr:spPr>
        <a:xfrm>
          <a:off x="17192624" y="5926932"/>
          <a:ext cx="2047875" cy="409573"/>
        </a:xfrm>
        <a:prstGeom prst="wedgeRectCallout">
          <a:avLst>
            <a:gd name="adj1" fmla="val 21853"/>
            <a:gd name="adj2" fmla="val 255934"/>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Factor de estandarización</a:t>
          </a:r>
        </a:p>
      </xdr:txBody>
    </xdr:sp>
    <xdr:clientData/>
  </xdr:twoCellAnchor>
  <xdr:twoCellAnchor>
    <xdr:from>
      <xdr:col>16</xdr:col>
      <xdr:colOff>238125</xdr:colOff>
      <xdr:row>33</xdr:row>
      <xdr:rowOff>126207</xdr:rowOff>
    </xdr:from>
    <xdr:to>
      <xdr:col>18</xdr:col>
      <xdr:colOff>235743</xdr:colOff>
      <xdr:row>38</xdr:row>
      <xdr:rowOff>154781</xdr:rowOff>
    </xdr:to>
    <xdr:sp macro="" textlink="">
      <xdr:nvSpPr>
        <xdr:cNvPr id="12" name="11 Llamada rectangular"/>
        <xdr:cNvSpPr/>
      </xdr:nvSpPr>
      <xdr:spPr>
        <a:xfrm>
          <a:off x="13001625" y="7436645"/>
          <a:ext cx="1521618" cy="981074"/>
        </a:xfrm>
        <a:prstGeom prst="wedgeRectCallout">
          <a:avLst>
            <a:gd name="adj1" fmla="val 20690"/>
            <a:gd name="adj2" fmla="val -110714"/>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L" sz="1200" b="1" i="0" baseline="0">
              <a:solidFill>
                <a:schemeClr val="tx1"/>
              </a:solidFill>
            </a:rPr>
            <a:t>Consumo</a:t>
          </a:r>
        </a:p>
        <a:p>
          <a:pPr algn="ctr"/>
          <a:r>
            <a:rPr lang="es-CL" sz="1200" b="1" i="0" baseline="0">
              <a:solidFill>
                <a:schemeClr val="tx1"/>
              </a:solidFill>
            </a:rPr>
            <a:t>Cargo fijo</a:t>
          </a:r>
        </a:p>
        <a:p>
          <a:pPr algn="ctr"/>
          <a:r>
            <a:rPr lang="es-CL" sz="1200" b="1" i="0" baseline="0">
              <a:solidFill>
                <a:schemeClr val="tx1"/>
              </a:solidFill>
            </a:rPr>
            <a:t>Arriendo de medidor</a:t>
          </a:r>
        </a:p>
        <a:p>
          <a:pPr algn="ctr"/>
          <a:r>
            <a:rPr lang="es-CL" sz="1200" b="1" i="0" baseline="0">
              <a:solidFill>
                <a:schemeClr val="tx1"/>
              </a:solidFill>
            </a:rPr>
            <a:t>Otros cargos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21</xdr:row>
      <xdr:rowOff>0</xdr:rowOff>
    </xdr:from>
    <xdr:to>
      <xdr:col>5</xdr:col>
      <xdr:colOff>295275</xdr:colOff>
      <xdr:row>35</xdr:row>
      <xdr:rowOff>76200</xdr:rowOff>
    </xdr:to>
    <xdr:graphicFrame macro="">
      <xdr:nvGraphicFramePr>
        <xdr:cNvPr id="20" name="1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21</xdr:row>
      <xdr:rowOff>0</xdr:rowOff>
    </xdr:from>
    <xdr:to>
      <xdr:col>12</xdr:col>
      <xdr:colOff>0</xdr:colOff>
      <xdr:row>35</xdr:row>
      <xdr:rowOff>76200</xdr:rowOff>
    </xdr:to>
    <xdr:graphicFrame macro="">
      <xdr:nvGraphicFramePr>
        <xdr:cNvPr id="23" name="2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0</xdr:colOff>
      <xdr:row>21</xdr:row>
      <xdr:rowOff>0</xdr:rowOff>
    </xdr:from>
    <xdr:to>
      <xdr:col>19</xdr:col>
      <xdr:colOff>0</xdr:colOff>
      <xdr:row>35</xdr:row>
      <xdr:rowOff>76200</xdr:rowOff>
    </xdr:to>
    <xdr:graphicFrame macro="">
      <xdr:nvGraphicFramePr>
        <xdr:cNvPr id="24" name="2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21</xdr:row>
      <xdr:rowOff>0</xdr:rowOff>
    </xdr:from>
    <xdr:to>
      <xdr:col>26</xdr:col>
      <xdr:colOff>0</xdr:colOff>
      <xdr:row>35</xdr:row>
      <xdr:rowOff>76200</xdr:rowOff>
    </xdr:to>
    <xdr:graphicFrame macro="">
      <xdr:nvGraphicFramePr>
        <xdr:cNvPr id="25" name="2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0</xdr:rowOff>
    </xdr:from>
    <xdr:to>
      <xdr:col>5</xdr:col>
      <xdr:colOff>295275</xdr:colOff>
      <xdr:row>52</xdr:row>
      <xdr:rowOff>76200</xdr:rowOff>
    </xdr:to>
    <xdr:graphicFrame macro="">
      <xdr:nvGraphicFramePr>
        <xdr:cNvPr id="26" name="2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38</xdr:row>
      <xdr:rowOff>0</xdr:rowOff>
    </xdr:from>
    <xdr:to>
      <xdr:col>12</xdr:col>
      <xdr:colOff>0</xdr:colOff>
      <xdr:row>52</xdr:row>
      <xdr:rowOff>76200</xdr:rowOff>
    </xdr:to>
    <xdr:graphicFrame macro="">
      <xdr:nvGraphicFramePr>
        <xdr:cNvPr id="27" name="2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13</xdr:col>
      <xdr:colOff>0</xdr:colOff>
      <xdr:row>38</xdr:row>
      <xdr:rowOff>0</xdr:rowOff>
    </xdr:from>
    <xdr:to>
      <xdr:col>19</xdr:col>
      <xdr:colOff>0</xdr:colOff>
      <xdr:row>52</xdr:row>
      <xdr:rowOff>76200</xdr:rowOff>
    </xdr:to>
    <xdr:graphicFrame macro="">
      <xdr:nvGraphicFramePr>
        <xdr:cNvPr id="28" name="2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20</xdr:col>
      <xdr:colOff>0</xdr:colOff>
      <xdr:row>38</xdr:row>
      <xdr:rowOff>0</xdr:rowOff>
    </xdr:from>
    <xdr:to>
      <xdr:col>26</xdr:col>
      <xdr:colOff>0</xdr:colOff>
      <xdr:row>52</xdr:row>
      <xdr:rowOff>76200</xdr:rowOff>
    </xdr:to>
    <xdr:graphicFrame macro="">
      <xdr:nvGraphicFramePr>
        <xdr:cNvPr id="29" name="28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0</xdr:colOff>
      <xdr:row>3</xdr:row>
      <xdr:rowOff>0</xdr:rowOff>
    </xdr:from>
    <xdr:to>
      <xdr:col>10</xdr:col>
      <xdr:colOff>0</xdr:colOff>
      <xdr:row>17</xdr:row>
      <xdr:rowOff>76200</xdr:rowOff>
    </xdr:to>
    <xdr:graphicFrame macro="">
      <xdr:nvGraphicFramePr>
        <xdr:cNvPr id="30" name="2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0</xdr:colOff>
      <xdr:row>3</xdr:row>
      <xdr:rowOff>0</xdr:rowOff>
    </xdr:from>
    <xdr:to>
      <xdr:col>17</xdr:col>
      <xdr:colOff>0</xdr:colOff>
      <xdr:row>17</xdr:row>
      <xdr:rowOff>76200</xdr:rowOff>
    </xdr:to>
    <xdr:graphicFrame macro="">
      <xdr:nvGraphicFramePr>
        <xdr:cNvPr id="31" name="3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32</xdr:row>
      <xdr:rowOff>42862</xdr:rowOff>
    </xdr:from>
    <xdr:to>
      <xdr:col>10</xdr:col>
      <xdr:colOff>95250</xdr:colOff>
      <xdr:row>46</xdr:row>
      <xdr:rowOff>119062</xdr:rowOff>
    </xdr:to>
    <xdr:graphicFrame macro="">
      <xdr:nvGraphicFramePr>
        <xdr:cNvPr id="2"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1</xdr:row>
      <xdr:rowOff>33338</xdr:rowOff>
    </xdr:from>
    <xdr:to>
      <xdr:col>7</xdr:col>
      <xdr:colOff>266700</xdr:colOff>
      <xdr:row>2</xdr:row>
      <xdr:rowOff>85725</xdr:rowOff>
    </xdr:to>
    <xdr:graphicFrame macro="">
      <xdr:nvGraphicFramePr>
        <xdr:cNvPr id="3" name="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32</xdr:row>
      <xdr:rowOff>0</xdr:rowOff>
    </xdr:from>
    <xdr:to>
      <xdr:col>21</xdr:col>
      <xdr:colOff>552450</xdr:colOff>
      <xdr:row>46</xdr:row>
      <xdr:rowOff>76200</xdr:rowOff>
    </xdr:to>
    <xdr:graphicFrame macro="">
      <xdr:nvGraphicFramePr>
        <xdr:cNvPr id="14" name="13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xdr:colOff>
      <xdr:row>5</xdr:row>
      <xdr:rowOff>0</xdr:rowOff>
    </xdr:from>
    <xdr:to>
      <xdr:col>11</xdr:col>
      <xdr:colOff>190500</xdr:colOff>
      <xdr:row>30</xdr:row>
      <xdr:rowOff>9525</xdr:rowOff>
    </xdr:to>
    <xdr:graphicFrame macro="">
      <xdr:nvGraphicFramePr>
        <xdr:cNvPr id="8" name="7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0</xdr:colOff>
      <xdr:row>5</xdr:row>
      <xdr:rowOff>0</xdr:rowOff>
    </xdr:from>
    <xdr:to>
      <xdr:col>23</xdr:col>
      <xdr:colOff>657224</xdr:colOff>
      <xdr:row>30</xdr:row>
      <xdr:rowOff>9525</xdr:rowOff>
    </xdr:to>
    <xdr:graphicFrame macro="">
      <xdr:nvGraphicFramePr>
        <xdr:cNvPr id="10" name="9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0</xdr:colOff>
      <xdr:row>5</xdr:row>
      <xdr:rowOff>0</xdr:rowOff>
    </xdr:from>
    <xdr:to>
      <xdr:col>36</xdr:col>
      <xdr:colOff>657224</xdr:colOff>
      <xdr:row>30</xdr:row>
      <xdr:rowOff>9525</xdr:rowOff>
    </xdr:to>
    <xdr:graphicFrame macro="">
      <xdr:nvGraphicFramePr>
        <xdr:cNvPr id="11" name="10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0</xdr:colOff>
      <xdr:row>1</xdr:row>
      <xdr:rowOff>0</xdr:rowOff>
    </xdr:from>
    <xdr:to>
      <xdr:col>15</xdr:col>
      <xdr:colOff>723900</xdr:colOff>
      <xdr:row>2</xdr:row>
      <xdr:rowOff>52387</xdr:rowOff>
    </xdr:to>
    <xdr:graphicFrame macro="">
      <xdr:nvGraphicFramePr>
        <xdr:cNvPr id="13" name="12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0</xdr:colOff>
      <xdr:row>1</xdr:row>
      <xdr:rowOff>0</xdr:rowOff>
    </xdr:from>
    <xdr:to>
      <xdr:col>24</xdr:col>
      <xdr:colOff>723900</xdr:colOff>
      <xdr:row>2</xdr:row>
      <xdr:rowOff>52387</xdr:rowOff>
    </xdr:to>
    <xdr:graphicFrame macro="">
      <xdr:nvGraphicFramePr>
        <xdr:cNvPr id="15" name="14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26</xdr:col>
      <xdr:colOff>0</xdr:colOff>
      <xdr:row>1</xdr:row>
      <xdr:rowOff>0</xdr:rowOff>
    </xdr:from>
    <xdr:to>
      <xdr:col>33</xdr:col>
      <xdr:colOff>723900</xdr:colOff>
      <xdr:row>2</xdr:row>
      <xdr:rowOff>52387</xdr:rowOff>
    </xdr:to>
    <xdr:graphicFrame macro="">
      <xdr:nvGraphicFramePr>
        <xdr:cNvPr id="16" name="15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H39"/>
  <sheetViews>
    <sheetView showGridLines="0" tabSelected="1" topLeftCell="A7" workbookViewId="0">
      <selection activeCell="D17" sqref="D17"/>
    </sheetView>
  </sheetViews>
  <sheetFormatPr baseColWidth="10" defaultRowHeight="15" x14ac:dyDescent="0.25"/>
  <cols>
    <col min="1" max="1" width="4.42578125" style="233" customWidth="1"/>
    <col min="2" max="2" width="84" style="234" customWidth="1"/>
    <col min="3" max="3" width="24.7109375" style="234" bestFit="1" customWidth="1"/>
    <col min="4" max="7" width="11.42578125" style="234"/>
    <col min="8" max="8" width="11.42578125" style="319"/>
  </cols>
  <sheetData>
    <row r="1" spans="1:8" s="166" customFormat="1" x14ac:dyDescent="0.25">
      <c r="A1" s="233"/>
      <c r="B1" s="234"/>
      <c r="C1" s="234"/>
      <c r="D1" s="234"/>
      <c r="E1" s="234"/>
      <c r="F1" s="234"/>
      <c r="G1" s="234"/>
      <c r="H1" s="319"/>
    </row>
    <row r="2" spans="1:8" s="166" customFormat="1" x14ac:dyDescent="0.25">
      <c r="A2" s="233"/>
      <c r="B2" s="322" t="s">
        <v>682</v>
      </c>
      <c r="C2" s="234"/>
      <c r="D2" s="234"/>
      <c r="E2" s="234"/>
      <c r="F2" s="234"/>
      <c r="G2" s="234"/>
      <c r="H2" s="319"/>
    </row>
    <row r="3" spans="1:8" s="166" customFormat="1" x14ac:dyDescent="0.25">
      <c r="A3" s="233"/>
      <c r="B3" s="234" t="s">
        <v>683</v>
      </c>
      <c r="C3" s="234"/>
      <c r="D3" s="234"/>
      <c r="E3" s="234"/>
      <c r="F3" s="234"/>
      <c r="G3" s="234"/>
      <c r="H3" s="319"/>
    </row>
    <row r="4" spans="1:8" s="166" customFormat="1" x14ac:dyDescent="0.25">
      <c r="A4" s="233"/>
      <c r="B4" s="234" t="s">
        <v>684</v>
      </c>
      <c r="C4" s="234"/>
      <c r="D4" s="234"/>
      <c r="E4" s="234"/>
      <c r="F4" s="234"/>
      <c r="G4" s="234"/>
      <c r="H4" s="319"/>
    </row>
    <row r="5" spans="1:8" s="166" customFormat="1" x14ac:dyDescent="0.25">
      <c r="A5" s="233"/>
      <c r="B5" s="234" t="s">
        <v>687</v>
      </c>
      <c r="C5" s="234"/>
      <c r="D5" s="234"/>
      <c r="E5" s="234"/>
      <c r="F5" s="234"/>
      <c r="G5" s="234"/>
      <c r="H5" s="319"/>
    </row>
    <row r="6" spans="1:8" s="166" customFormat="1" x14ac:dyDescent="0.25">
      <c r="A6" s="233"/>
      <c r="B6" s="234" t="s">
        <v>717</v>
      </c>
      <c r="C6" s="234"/>
      <c r="D6" s="234"/>
      <c r="E6" s="234"/>
      <c r="F6" s="234"/>
      <c r="G6" s="234"/>
      <c r="H6" s="319"/>
    </row>
    <row r="7" spans="1:8" s="166" customFormat="1" x14ac:dyDescent="0.25">
      <c r="A7" s="233"/>
      <c r="B7" s="234"/>
      <c r="C7" s="234"/>
      <c r="D7" s="234"/>
      <c r="E7" s="234"/>
      <c r="F7" s="234"/>
      <c r="G7" s="234"/>
      <c r="H7" s="319"/>
    </row>
    <row r="8" spans="1:8" x14ac:dyDescent="0.25">
      <c r="A8" s="323" t="s">
        <v>71</v>
      </c>
      <c r="B8" s="322" t="s">
        <v>72</v>
      </c>
      <c r="C8" s="322" t="s">
        <v>73</v>
      </c>
      <c r="D8" s="322" t="s">
        <v>164</v>
      </c>
    </row>
    <row r="9" spans="1:8" x14ac:dyDescent="0.25">
      <c r="A9" s="233">
        <v>1</v>
      </c>
      <c r="B9" s="320" t="s">
        <v>661</v>
      </c>
      <c r="C9" s="321" t="s">
        <v>659</v>
      </c>
      <c r="D9" s="234" t="s">
        <v>660</v>
      </c>
    </row>
    <row r="10" spans="1:8" x14ac:dyDescent="0.25">
      <c r="A10" s="233">
        <v>2</v>
      </c>
      <c r="B10" s="320" t="s">
        <v>124</v>
      </c>
      <c r="C10" s="321" t="s">
        <v>33</v>
      </c>
      <c r="D10" s="234" t="s">
        <v>168</v>
      </c>
    </row>
    <row r="11" spans="1:8" x14ac:dyDescent="0.25">
      <c r="A11" s="233">
        <v>3</v>
      </c>
      <c r="B11" s="320" t="s">
        <v>125</v>
      </c>
      <c r="C11" s="321" t="s">
        <v>33</v>
      </c>
      <c r="D11" s="234" t="s">
        <v>165</v>
      </c>
    </row>
    <row r="12" spans="1:8" x14ac:dyDescent="0.25">
      <c r="A12" s="233">
        <v>4</v>
      </c>
      <c r="B12" s="320" t="s">
        <v>163</v>
      </c>
      <c r="C12" s="321" t="s">
        <v>33</v>
      </c>
      <c r="D12" s="234" t="s">
        <v>169</v>
      </c>
    </row>
    <row r="13" spans="1:8" x14ac:dyDescent="0.25">
      <c r="A13" s="233">
        <v>5</v>
      </c>
      <c r="B13" s="320" t="s">
        <v>166</v>
      </c>
      <c r="C13" s="321" t="s">
        <v>33</v>
      </c>
      <c r="D13" s="234" t="s">
        <v>169</v>
      </c>
    </row>
    <row r="14" spans="1:8" x14ac:dyDescent="0.25">
      <c r="A14" s="233">
        <v>6</v>
      </c>
      <c r="B14" s="320" t="s">
        <v>167</v>
      </c>
      <c r="C14" s="321" t="s">
        <v>33</v>
      </c>
      <c r="D14" s="234" t="s">
        <v>718</v>
      </c>
    </row>
    <row r="15" spans="1:8" x14ac:dyDescent="0.25">
      <c r="A15" s="233">
        <v>7</v>
      </c>
      <c r="B15" s="320" t="s">
        <v>662</v>
      </c>
      <c r="C15" s="321" t="s">
        <v>237</v>
      </c>
      <c r="D15" s="234" t="s">
        <v>663</v>
      </c>
    </row>
    <row r="16" spans="1:8" x14ac:dyDescent="0.25">
      <c r="A16" s="233">
        <v>8</v>
      </c>
      <c r="B16" s="320" t="s">
        <v>664</v>
      </c>
      <c r="C16" s="321" t="s">
        <v>238</v>
      </c>
      <c r="D16" s="234" t="s">
        <v>666</v>
      </c>
    </row>
    <row r="17" spans="1:8" x14ac:dyDescent="0.25">
      <c r="A17" s="233">
        <v>9</v>
      </c>
      <c r="B17" s="320" t="s">
        <v>665</v>
      </c>
      <c r="C17" s="321" t="s">
        <v>239</v>
      </c>
      <c r="D17" s="234" t="s">
        <v>667</v>
      </c>
    </row>
    <row r="18" spans="1:8" x14ac:dyDescent="0.25">
      <c r="A18" s="233">
        <v>10</v>
      </c>
      <c r="B18" s="320" t="s">
        <v>669</v>
      </c>
      <c r="C18" s="234" t="s">
        <v>668</v>
      </c>
      <c r="D18" s="234" t="s">
        <v>701</v>
      </c>
    </row>
    <row r="19" spans="1:8" s="166" customFormat="1" x14ac:dyDescent="0.25">
      <c r="A19" s="233">
        <v>11</v>
      </c>
      <c r="B19" s="320" t="s">
        <v>670</v>
      </c>
      <c r="C19" s="321" t="s">
        <v>671</v>
      </c>
      <c r="D19" s="234" t="s">
        <v>702</v>
      </c>
      <c r="E19" s="234"/>
      <c r="F19" s="234"/>
      <c r="G19" s="234"/>
      <c r="H19" s="319"/>
    </row>
    <row r="20" spans="1:8" s="166" customFormat="1" x14ac:dyDescent="0.25">
      <c r="A20" s="233">
        <v>12</v>
      </c>
      <c r="B20" s="320" t="s">
        <v>677</v>
      </c>
      <c r="C20" s="234" t="s">
        <v>668</v>
      </c>
      <c r="D20" s="234" t="s">
        <v>703</v>
      </c>
      <c r="E20" s="234"/>
      <c r="F20" s="234"/>
      <c r="G20" s="234"/>
      <c r="H20" s="319"/>
    </row>
    <row r="21" spans="1:8" s="166" customFormat="1" x14ac:dyDescent="0.25">
      <c r="A21" s="233">
        <v>13</v>
      </c>
      <c r="B21" s="320" t="s">
        <v>678</v>
      </c>
      <c r="C21" s="321" t="s">
        <v>680</v>
      </c>
      <c r="D21" s="234" t="s">
        <v>679</v>
      </c>
      <c r="E21" s="234"/>
      <c r="F21" s="234"/>
      <c r="G21" s="234"/>
      <c r="H21" s="319"/>
    </row>
    <row r="22" spans="1:8" s="166" customFormat="1" x14ac:dyDescent="0.25">
      <c r="A22" s="233">
        <v>14</v>
      </c>
      <c r="B22" s="320" t="s">
        <v>670</v>
      </c>
      <c r="C22" s="321" t="s">
        <v>681</v>
      </c>
      <c r="D22" s="234" t="s">
        <v>672</v>
      </c>
      <c r="E22" s="234"/>
      <c r="F22" s="234"/>
      <c r="G22" s="234"/>
      <c r="H22" s="319"/>
    </row>
    <row r="23" spans="1:8" s="166" customFormat="1" ht="90" x14ac:dyDescent="0.25">
      <c r="A23" s="233">
        <v>15</v>
      </c>
      <c r="B23" s="320" t="s">
        <v>685</v>
      </c>
      <c r="C23" s="321" t="s">
        <v>686</v>
      </c>
      <c r="D23" s="234" t="s">
        <v>700</v>
      </c>
      <c r="E23" s="234"/>
      <c r="F23" s="234"/>
      <c r="G23" s="234"/>
      <c r="H23" s="319"/>
    </row>
    <row r="24" spans="1:8" s="166" customFormat="1" ht="60" x14ac:dyDescent="0.25">
      <c r="A24" s="233">
        <v>17</v>
      </c>
      <c r="B24" s="320" t="s">
        <v>688</v>
      </c>
      <c r="C24" s="321" t="s">
        <v>689</v>
      </c>
      <c r="D24" s="234" t="s">
        <v>700</v>
      </c>
      <c r="E24" s="234"/>
      <c r="F24" s="234"/>
      <c r="G24" s="234"/>
      <c r="H24" s="319"/>
    </row>
    <row r="25" spans="1:8" s="166" customFormat="1" ht="60" x14ac:dyDescent="0.25">
      <c r="A25" s="233">
        <v>18</v>
      </c>
      <c r="B25" s="320" t="s">
        <v>690</v>
      </c>
      <c r="C25" s="321" t="s">
        <v>691</v>
      </c>
      <c r="D25" s="234" t="s">
        <v>700</v>
      </c>
      <c r="E25" s="234"/>
      <c r="F25" s="234"/>
      <c r="G25" s="234"/>
      <c r="H25" s="319"/>
    </row>
    <row r="26" spans="1:8" s="166" customFormat="1" ht="60" x14ac:dyDescent="0.25">
      <c r="A26" s="233">
        <v>19</v>
      </c>
      <c r="B26" s="320" t="s">
        <v>692</v>
      </c>
      <c r="C26" s="321" t="s">
        <v>693</v>
      </c>
      <c r="D26" s="234" t="s">
        <v>700</v>
      </c>
      <c r="E26" s="234"/>
      <c r="F26" s="234"/>
      <c r="G26" s="234"/>
      <c r="H26" s="319"/>
    </row>
    <row r="27" spans="1:8" s="166" customFormat="1" ht="30" x14ac:dyDescent="0.25">
      <c r="A27" s="233">
        <v>20</v>
      </c>
      <c r="B27" s="320" t="s">
        <v>704</v>
      </c>
      <c r="C27" s="318" t="s">
        <v>706</v>
      </c>
      <c r="D27" s="234" t="s">
        <v>705</v>
      </c>
      <c r="E27" s="234"/>
      <c r="F27" s="234"/>
      <c r="G27" s="234"/>
      <c r="H27" s="319"/>
    </row>
    <row r="28" spans="1:8" s="166" customFormat="1" x14ac:dyDescent="0.25">
      <c r="A28" s="233">
        <v>21</v>
      </c>
      <c r="B28" s="234" t="s">
        <v>694</v>
      </c>
      <c r="C28" s="321" t="s">
        <v>680</v>
      </c>
      <c r="D28" s="234"/>
      <c r="E28" s="234"/>
      <c r="F28" s="234"/>
      <c r="G28" s="234"/>
      <c r="H28" s="319"/>
    </row>
    <row r="29" spans="1:8" s="166" customFormat="1" x14ac:dyDescent="0.25">
      <c r="A29" s="233">
        <v>22</v>
      </c>
      <c r="B29" s="234" t="s">
        <v>695</v>
      </c>
      <c r="C29" s="321" t="s">
        <v>697</v>
      </c>
      <c r="D29" s="234" t="s">
        <v>707</v>
      </c>
      <c r="E29" s="234"/>
      <c r="F29" s="234"/>
      <c r="G29" s="234"/>
      <c r="H29" s="319"/>
    </row>
    <row r="30" spans="1:8" s="166" customFormat="1" x14ac:dyDescent="0.25">
      <c r="A30" s="233">
        <v>23</v>
      </c>
      <c r="B30" s="234" t="s">
        <v>696</v>
      </c>
      <c r="C30" s="321" t="s">
        <v>698</v>
      </c>
      <c r="D30" s="234"/>
      <c r="E30" s="234"/>
      <c r="F30" s="234"/>
      <c r="G30" s="234"/>
      <c r="H30" s="319"/>
    </row>
    <row r="31" spans="1:8" s="166" customFormat="1" ht="30" x14ac:dyDescent="0.25">
      <c r="A31" s="233">
        <v>24</v>
      </c>
      <c r="B31" s="320" t="s">
        <v>709</v>
      </c>
      <c r="C31" s="321" t="s">
        <v>653</v>
      </c>
      <c r="D31" s="234"/>
      <c r="E31" s="234"/>
      <c r="F31" s="234"/>
      <c r="G31" s="234"/>
      <c r="H31" s="319"/>
    </row>
    <row r="32" spans="1:8" s="166" customFormat="1" x14ac:dyDescent="0.25">
      <c r="A32" s="233">
        <v>25</v>
      </c>
      <c r="B32" s="234" t="s">
        <v>699</v>
      </c>
      <c r="C32" s="234"/>
      <c r="D32" s="234"/>
      <c r="E32" s="234"/>
      <c r="F32" s="234"/>
      <c r="G32" s="234"/>
      <c r="H32" s="319"/>
    </row>
    <row r="33" spans="1:8" s="166" customFormat="1" x14ac:dyDescent="0.25">
      <c r="A33" s="233">
        <v>26</v>
      </c>
      <c r="B33" s="234" t="s">
        <v>711</v>
      </c>
      <c r="C33" s="234"/>
      <c r="D33" s="234"/>
      <c r="E33" s="234"/>
      <c r="F33" s="234"/>
      <c r="G33" s="234"/>
      <c r="H33" s="319"/>
    </row>
    <row r="34" spans="1:8" s="166" customFormat="1" x14ac:dyDescent="0.25">
      <c r="A34" s="233">
        <v>27</v>
      </c>
      <c r="B34" s="234" t="s">
        <v>708</v>
      </c>
      <c r="C34" s="234"/>
      <c r="D34" s="234"/>
      <c r="E34" s="234"/>
      <c r="F34" s="234"/>
      <c r="G34" s="234"/>
      <c r="H34" s="319"/>
    </row>
    <row r="35" spans="1:8" s="166" customFormat="1" x14ac:dyDescent="0.25">
      <c r="A35" s="233"/>
      <c r="B35" s="234"/>
      <c r="C35" s="234"/>
      <c r="D35" s="234"/>
      <c r="E35" s="234"/>
      <c r="F35" s="234"/>
      <c r="G35" s="234"/>
      <c r="H35" s="319"/>
    </row>
    <row r="36" spans="1:8" s="166" customFormat="1" x14ac:dyDescent="0.25">
      <c r="A36" s="233"/>
      <c r="B36" s="234"/>
      <c r="C36" s="234"/>
      <c r="D36" s="234"/>
      <c r="E36" s="234"/>
      <c r="F36" s="234"/>
      <c r="G36" s="234"/>
      <c r="H36" s="319"/>
    </row>
    <row r="37" spans="1:8" s="166" customFormat="1" x14ac:dyDescent="0.25">
      <c r="A37" s="233"/>
      <c r="B37" s="234"/>
      <c r="C37" s="234"/>
      <c r="D37" s="234"/>
      <c r="E37" s="234"/>
      <c r="F37" s="234"/>
      <c r="G37" s="234"/>
      <c r="H37" s="319"/>
    </row>
    <row r="38" spans="1:8" s="166" customFormat="1" x14ac:dyDescent="0.25">
      <c r="A38" s="233"/>
      <c r="B38" s="234"/>
      <c r="C38" s="234"/>
      <c r="D38" s="234"/>
      <c r="E38" s="234"/>
      <c r="F38" s="234"/>
      <c r="G38" s="234"/>
      <c r="H38" s="319"/>
    </row>
    <row r="39" spans="1:8" s="166" customFormat="1" x14ac:dyDescent="0.25">
      <c r="A39" s="233"/>
      <c r="B39" s="234"/>
      <c r="C39" s="234"/>
      <c r="D39" s="234"/>
      <c r="E39" s="234"/>
      <c r="F39" s="234"/>
      <c r="G39" s="234"/>
      <c r="H39" s="319"/>
    </row>
  </sheetData>
  <hyperlinks>
    <hyperlink ref="C10" location="Electricidad!A1" display="Electricidad"/>
    <hyperlink ref="C11:C14" location="Electricidad!A1" display="Electricidad"/>
    <hyperlink ref="C9" location="'Resumen consumos y usos'!A1" display="Resumen consumos y usos"/>
    <hyperlink ref="C15" location="'Gas Natural  '!A1" display="Gas natural"/>
    <hyperlink ref="C16" location="'Gas Licuado '!A1" display="Gas licuado"/>
    <hyperlink ref="C17" location="'Diesel '!A1" display="Diesel"/>
    <hyperlink ref="C19" location="'Gráficos consumos'!A1" display="Gráficos consumos"/>
    <hyperlink ref="C22" location="'Gráficos usos'!A1" display="Gráficos usos"/>
    <hyperlink ref="C21" location="'Resumen usos'!A1" display="Resumen usos"/>
    <hyperlink ref="C23" location="'Usos Electricidad'!A1" display="Usos electricidad"/>
    <hyperlink ref="C25" location="'Usos Gas Licuado'!A1" display="Usos gas licuado"/>
    <hyperlink ref="C26" location="'Usos Diesel'!A1" display="Usos diesel"/>
    <hyperlink ref="C24" location="'Usos Gas Natural'!A1" display="Usos gas natural"/>
    <hyperlink ref="C28" location="'Resumen usos'!A1" display="Resumen usos"/>
    <hyperlink ref="C29" location="'Recambio luminarias'!A1" display="Recambio de luminarias"/>
    <hyperlink ref="C30" location="Listas!A1" display="Listas"/>
    <hyperlink ref="C31" location="'Medidas EE'!A1" display="Medidas EE"/>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7"/>
  </sheetPr>
  <dimension ref="A2:AL200"/>
  <sheetViews>
    <sheetView topLeftCell="B1" workbookViewId="0">
      <selection activeCell="I15" sqref="I15"/>
    </sheetView>
  </sheetViews>
  <sheetFormatPr baseColWidth="10" defaultRowHeight="15" outlineLevelCol="1" x14ac:dyDescent="0.25"/>
  <cols>
    <col min="1" max="1" width="5.7109375" style="35" customWidth="1"/>
    <col min="2" max="2" width="32.5703125" style="35" customWidth="1"/>
    <col min="3" max="3" width="27.28515625" style="35" customWidth="1"/>
    <col min="4" max="4" width="10.140625" style="35" customWidth="1"/>
    <col min="5" max="5" width="13.140625" style="35" customWidth="1"/>
    <col min="6" max="6" width="11.42578125" style="35" customWidth="1"/>
    <col min="7" max="12" width="13" style="35" customWidth="1"/>
    <col min="13" max="14" width="11.140625" style="35" customWidth="1"/>
    <col min="15" max="20" width="13" style="35" customWidth="1"/>
    <col min="21" max="22" width="11.140625" style="35" customWidth="1"/>
    <col min="23" max="26" width="10.85546875" style="166" customWidth="1"/>
    <col min="27" max="30" width="10.85546875" style="166" hidden="1" customWidth="1" outlineLevel="1"/>
    <col min="31" max="31" width="11.7109375" style="35" customWidth="1" collapsed="1"/>
    <col min="32" max="32" width="15.140625" style="35" customWidth="1"/>
    <col min="33" max="33" width="17.28515625" style="35" customWidth="1"/>
    <col min="35" max="35" width="36.42578125" customWidth="1"/>
    <col min="36" max="36" width="14.5703125" customWidth="1"/>
    <col min="37" max="37" width="17.5703125" customWidth="1"/>
    <col min="38" max="38" width="13" customWidth="1"/>
    <col min="39" max="41" width="17.5703125" customWidth="1"/>
  </cols>
  <sheetData>
    <row r="2" spans="1:38" ht="27.75" customHeight="1" x14ac:dyDescent="0.25">
      <c r="B2" s="392" t="s">
        <v>70</v>
      </c>
      <c r="C2" s="392"/>
      <c r="D2" s="392"/>
      <c r="E2" s="392"/>
      <c r="F2" s="392"/>
      <c r="G2" s="99"/>
      <c r="H2" s="99"/>
      <c r="I2" s="99"/>
      <c r="J2" s="99"/>
      <c r="K2" s="99"/>
      <c r="L2" s="99"/>
      <c r="M2" s="417" t="s">
        <v>177</v>
      </c>
      <c r="N2" s="418">
        <v>5</v>
      </c>
      <c r="O2" s="99"/>
      <c r="P2" s="99"/>
      <c r="Q2" s="99"/>
      <c r="R2" s="99"/>
      <c r="S2" s="99"/>
      <c r="T2" s="99"/>
      <c r="U2" s="417" t="s">
        <v>177</v>
      </c>
      <c r="V2" s="418">
        <v>2</v>
      </c>
      <c r="W2" s="167"/>
      <c r="X2" s="167"/>
      <c r="Y2" s="167"/>
      <c r="Z2" s="167"/>
      <c r="AA2" s="167"/>
      <c r="AB2" s="167"/>
      <c r="AC2" s="167"/>
      <c r="AD2" s="167"/>
      <c r="AF2" s="151" t="s">
        <v>174</v>
      </c>
      <c r="AG2" s="152">
        <f>365/7</f>
        <v>52.142857142857146</v>
      </c>
    </row>
    <row r="3" spans="1:38" ht="15.75" x14ac:dyDescent="0.25">
      <c r="A3" s="6"/>
      <c r="B3" s="1"/>
      <c r="C3" s="1"/>
      <c r="D3" s="1"/>
      <c r="E3" s="1"/>
      <c r="F3" s="1"/>
      <c r="G3" s="416" t="s">
        <v>714</v>
      </c>
      <c r="H3" s="416"/>
      <c r="I3" s="416"/>
      <c r="J3" s="416"/>
      <c r="K3" s="416"/>
      <c r="L3" s="416"/>
      <c r="M3" s="417"/>
      <c r="N3" s="418"/>
      <c r="O3" s="416" t="s">
        <v>715</v>
      </c>
      <c r="P3" s="416"/>
      <c r="Q3" s="416"/>
      <c r="R3" s="416"/>
      <c r="S3" s="416"/>
      <c r="T3" s="416"/>
      <c r="U3" s="417"/>
      <c r="V3" s="418"/>
      <c r="W3" s="419" t="s">
        <v>300</v>
      </c>
      <c r="X3" s="420"/>
      <c r="Y3" s="420"/>
      <c r="Z3" s="420"/>
      <c r="AA3" s="421" t="s">
        <v>716</v>
      </c>
      <c r="AB3" s="421"/>
      <c r="AC3" s="421"/>
      <c r="AD3" s="421"/>
      <c r="AE3" s="1"/>
      <c r="AF3" s="1"/>
      <c r="AI3" s="415" t="s">
        <v>207</v>
      </c>
      <c r="AJ3" s="415"/>
      <c r="AK3" s="415"/>
    </row>
    <row r="4" spans="1:38" ht="42.75" customHeight="1" x14ac:dyDescent="0.25">
      <c r="B4" s="9" t="s">
        <v>179</v>
      </c>
      <c r="C4" s="9" t="s">
        <v>178</v>
      </c>
      <c r="D4" s="9" t="s">
        <v>197</v>
      </c>
      <c r="E4" s="9" t="s">
        <v>199</v>
      </c>
      <c r="F4" s="9" t="s">
        <v>198</v>
      </c>
      <c r="G4" s="9" t="s">
        <v>182</v>
      </c>
      <c r="H4" s="9" t="s">
        <v>183</v>
      </c>
      <c r="I4" s="9" t="s">
        <v>184</v>
      </c>
      <c r="J4" s="9" t="s">
        <v>185</v>
      </c>
      <c r="K4" s="9" t="s">
        <v>186</v>
      </c>
      <c r="L4" s="9" t="s">
        <v>187</v>
      </c>
      <c r="M4" s="9" t="s">
        <v>180</v>
      </c>
      <c r="N4" s="9" t="s">
        <v>181</v>
      </c>
      <c r="O4" s="9" t="s">
        <v>182</v>
      </c>
      <c r="P4" s="9" t="s">
        <v>183</v>
      </c>
      <c r="Q4" s="9" t="s">
        <v>184</v>
      </c>
      <c r="R4" s="9" t="s">
        <v>185</v>
      </c>
      <c r="S4" s="9" t="s">
        <v>186</v>
      </c>
      <c r="T4" s="9" t="s">
        <v>187</v>
      </c>
      <c r="U4" s="9" t="s">
        <v>180</v>
      </c>
      <c r="V4" s="9" t="s">
        <v>181</v>
      </c>
      <c r="W4" s="133" t="s">
        <v>301</v>
      </c>
      <c r="X4" s="133" t="s">
        <v>302</v>
      </c>
      <c r="Y4" s="133" t="s">
        <v>303</v>
      </c>
      <c r="Z4" s="133" t="s">
        <v>304</v>
      </c>
      <c r="AA4" s="133" t="s">
        <v>301</v>
      </c>
      <c r="AB4" s="133" t="s">
        <v>302</v>
      </c>
      <c r="AC4" s="133" t="s">
        <v>303</v>
      </c>
      <c r="AD4" s="133" t="s">
        <v>304</v>
      </c>
      <c r="AE4" s="9" t="s">
        <v>213</v>
      </c>
      <c r="AF4" s="9" t="s">
        <v>66</v>
      </c>
      <c r="AG4" s="119" t="s">
        <v>173</v>
      </c>
      <c r="AI4" s="9" t="s">
        <v>188</v>
      </c>
      <c r="AJ4" s="9" t="s">
        <v>208</v>
      </c>
      <c r="AK4" s="194" t="s">
        <v>209</v>
      </c>
    </row>
    <row r="5" spans="1:38" x14ac:dyDescent="0.25">
      <c r="B5" s="70" t="s">
        <v>547</v>
      </c>
      <c r="C5" s="70" t="s">
        <v>635</v>
      </c>
      <c r="D5" s="70">
        <v>5</v>
      </c>
      <c r="E5" s="70">
        <v>10</v>
      </c>
      <c r="F5" s="102">
        <f>D5*E5</f>
        <v>50</v>
      </c>
      <c r="G5" s="120">
        <v>9</v>
      </c>
      <c r="H5" s="120">
        <v>13</v>
      </c>
      <c r="I5" s="120">
        <v>14</v>
      </c>
      <c r="J5" s="120">
        <v>18</v>
      </c>
      <c r="K5" s="120">
        <v>19</v>
      </c>
      <c r="L5" s="120">
        <v>24</v>
      </c>
      <c r="M5" s="128">
        <f>-G5-I5-K5+H5+J5+L5</f>
        <v>13</v>
      </c>
      <c r="N5" s="102">
        <f t="shared" ref="N5:N36" si="0">M5*$N$2</f>
        <v>65</v>
      </c>
      <c r="O5" s="120">
        <v>9</v>
      </c>
      <c r="P5" s="120">
        <v>10</v>
      </c>
      <c r="Q5" s="120">
        <v>12</v>
      </c>
      <c r="R5" s="120">
        <v>14</v>
      </c>
      <c r="S5" s="120"/>
      <c r="T5" s="120"/>
      <c r="U5" s="128">
        <f>-O5-Q5-S5+P5+R5+T5</f>
        <v>3</v>
      </c>
      <c r="V5" s="102">
        <f>U5*$V$2</f>
        <v>6</v>
      </c>
      <c r="W5" s="21">
        <v>1</v>
      </c>
      <c r="X5" s="21">
        <v>0.9</v>
      </c>
      <c r="Y5" s="21">
        <v>0.9</v>
      </c>
      <c r="Z5" s="21">
        <v>0.9</v>
      </c>
      <c r="AA5" s="102">
        <f>W5*$F5</f>
        <v>50</v>
      </c>
      <c r="AB5" s="102">
        <f>X5*$F5</f>
        <v>45</v>
      </c>
      <c r="AC5" s="102">
        <f>Y5*$F5</f>
        <v>45</v>
      </c>
      <c r="AD5" s="102">
        <f>Z5*$F5</f>
        <v>45</v>
      </c>
      <c r="AE5" s="102">
        <f t="shared" ref="AE5:AE36" si="1">SUMIF($4:$4,$N$4,5:5)*$AG$2*SUM(W5:Z5)*0.25</f>
        <v>3424.4821428571427</v>
      </c>
      <c r="AF5" s="129">
        <f t="shared" ref="AF5:AF36" si="2">+F5*AE5</f>
        <v>171224.10714285713</v>
      </c>
      <c r="AI5" s="125" t="s">
        <v>189</v>
      </c>
      <c r="AJ5" s="126">
        <f>SUMIF(B:B,AI5,AF:AF)</f>
        <v>2089673.2321428573</v>
      </c>
      <c r="AK5" s="127">
        <f>AJ5*Electricidad!$J$8</f>
        <v>179140879.51426706</v>
      </c>
    </row>
    <row r="6" spans="1:38" x14ac:dyDescent="0.25">
      <c r="B6" s="4" t="s">
        <v>189</v>
      </c>
      <c r="C6" s="70" t="s">
        <v>202</v>
      </c>
      <c r="D6" s="70">
        <v>10</v>
      </c>
      <c r="E6" s="70">
        <v>0.6</v>
      </c>
      <c r="F6" s="102">
        <f t="shared" ref="F6:F69" si="3">D6*E6</f>
        <v>6</v>
      </c>
      <c r="G6" s="120">
        <v>9</v>
      </c>
      <c r="H6" s="120">
        <v>24</v>
      </c>
      <c r="I6" s="120"/>
      <c r="J6" s="120"/>
      <c r="K6" s="120"/>
      <c r="L6" s="120"/>
      <c r="M6" s="128">
        <f t="shared" ref="M6:M69" si="4">-G6-I6-K6+H6+J6+L6</f>
        <v>15</v>
      </c>
      <c r="N6" s="102">
        <f t="shared" si="0"/>
        <v>75</v>
      </c>
      <c r="O6" s="120">
        <v>9</v>
      </c>
      <c r="P6" s="120">
        <v>14</v>
      </c>
      <c r="Q6" s="120"/>
      <c r="R6" s="120"/>
      <c r="S6" s="120"/>
      <c r="T6" s="120"/>
      <c r="U6" s="128">
        <f t="shared" ref="U6:U69" si="5">-O6-Q6-S6+P6+R6+T6</f>
        <v>5</v>
      </c>
      <c r="V6" s="102">
        <f t="shared" ref="V6:V69" si="6">U6*$V$2</f>
        <v>10</v>
      </c>
      <c r="W6" s="21">
        <v>0.8</v>
      </c>
      <c r="X6" s="21">
        <v>0.9</v>
      </c>
      <c r="Y6" s="21">
        <v>1</v>
      </c>
      <c r="Z6" s="21">
        <v>0.9</v>
      </c>
      <c r="AA6" s="102">
        <f t="shared" ref="AA6:AA69" si="7">W6*$F6</f>
        <v>4.8000000000000007</v>
      </c>
      <c r="AB6" s="102">
        <f t="shared" ref="AB6:AB69" si="8">X6*$F6</f>
        <v>5.4</v>
      </c>
      <c r="AC6" s="102">
        <f t="shared" ref="AC6:AC69" si="9">Y6*$F6</f>
        <v>6</v>
      </c>
      <c r="AD6" s="102">
        <f t="shared" ref="AD6:AD69" si="10">Z6*$F6</f>
        <v>5.4</v>
      </c>
      <c r="AE6" s="102">
        <f t="shared" si="1"/>
        <v>3988.928571428572</v>
      </c>
      <c r="AF6" s="129">
        <f t="shared" si="2"/>
        <v>23933.571428571431</v>
      </c>
      <c r="AI6" s="125" t="s">
        <v>488</v>
      </c>
      <c r="AJ6" s="126">
        <f t="shared" ref="AJ6:AJ15" si="11">SUMIF(B:B,AI6,AF:AF)</f>
        <v>12905.357142857145</v>
      </c>
      <c r="AK6" s="127">
        <f>AJ6*Electricidad!$J$8</f>
        <v>1106334.2313316811</v>
      </c>
    </row>
    <row r="7" spans="1:38" x14ac:dyDescent="0.25">
      <c r="B7" s="4" t="s">
        <v>189</v>
      </c>
      <c r="C7" s="70" t="s">
        <v>203</v>
      </c>
      <c r="D7" s="70">
        <v>5</v>
      </c>
      <c r="E7" s="70">
        <v>0.01</v>
      </c>
      <c r="F7" s="102">
        <f t="shared" si="3"/>
        <v>0.05</v>
      </c>
      <c r="G7" s="120">
        <v>9</v>
      </c>
      <c r="H7" s="120">
        <v>24</v>
      </c>
      <c r="I7" s="120"/>
      <c r="J7" s="120"/>
      <c r="K7" s="120"/>
      <c r="L7" s="120"/>
      <c r="M7" s="128">
        <f t="shared" si="4"/>
        <v>15</v>
      </c>
      <c r="N7" s="102">
        <f t="shared" si="0"/>
        <v>75</v>
      </c>
      <c r="O7" s="120">
        <v>9</v>
      </c>
      <c r="P7" s="120">
        <v>14</v>
      </c>
      <c r="Q7" s="120"/>
      <c r="R7" s="120"/>
      <c r="S7" s="120"/>
      <c r="T7" s="120"/>
      <c r="U7" s="128">
        <f t="shared" si="5"/>
        <v>5</v>
      </c>
      <c r="V7" s="102">
        <f t="shared" si="6"/>
        <v>10</v>
      </c>
      <c r="W7" s="21">
        <v>0.8</v>
      </c>
      <c r="X7" s="21">
        <v>0.9</v>
      </c>
      <c r="Y7" s="21">
        <v>1</v>
      </c>
      <c r="Z7" s="21">
        <v>0.9</v>
      </c>
      <c r="AA7" s="102">
        <f t="shared" si="7"/>
        <v>4.0000000000000008E-2</v>
      </c>
      <c r="AB7" s="102">
        <f t="shared" si="8"/>
        <v>4.5000000000000005E-2</v>
      </c>
      <c r="AC7" s="102">
        <f t="shared" si="9"/>
        <v>0.05</v>
      </c>
      <c r="AD7" s="102">
        <f t="shared" si="10"/>
        <v>4.5000000000000005E-2</v>
      </c>
      <c r="AE7" s="102">
        <f t="shared" si="1"/>
        <v>3988.928571428572</v>
      </c>
      <c r="AF7" s="129">
        <f t="shared" si="2"/>
        <v>199.44642857142861</v>
      </c>
      <c r="AI7" s="125" t="s">
        <v>509</v>
      </c>
      <c r="AJ7" s="126">
        <f t="shared" si="11"/>
        <v>19188.571428571431</v>
      </c>
      <c r="AK7" s="127">
        <f>AJ7*Electricidad!$J$8</f>
        <v>1644973.7257780149</v>
      </c>
    </row>
    <row r="8" spans="1:38" x14ac:dyDescent="0.25">
      <c r="B8" s="4" t="s">
        <v>189</v>
      </c>
      <c r="C8" s="70" t="s">
        <v>204</v>
      </c>
      <c r="D8" s="70">
        <v>9</v>
      </c>
      <c r="E8" s="70">
        <v>0.6</v>
      </c>
      <c r="F8" s="102">
        <f t="shared" si="3"/>
        <v>5.3999999999999995</v>
      </c>
      <c r="G8" s="120">
        <v>9</v>
      </c>
      <c r="H8" s="120">
        <v>24</v>
      </c>
      <c r="I8" s="120"/>
      <c r="J8" s="120"/>
      <c r="K8" s="120"/>
      <c r="L8" s="120"/>
      <c r="M8" s="128">
        <f t="shared" si="4"/>
        <v>15</v>
      </c>
      <c r="N8" s="102">
        <f t="shared" si="0"/>
        <v>75</v>
      </c>
      <c r="O8" s="120">
        <v>9</v>
      </c>
      <c r="P8" s="120">
        <v>14</v>
      </c>
      <c r="Q8" s="120"/>
      <c r="R8" s="120"/>
      <c r="S8" s="120"/>
      <c r="T8" s="120"/>
      <c r="U8" s="128">
        <f t="shared" si="5"/>
        <v>5</v>
      </c>
      <c r="V8" s="102">
        <f t="shared" si="6"/>
        <v>10</v>
      </c>
      <c r="W8" s="21">
        <v>0.8</v>
      </c>
      <c r="X8" s="21">
        <v>0.9</v>
      </c>
      <c r="Y8" s="21">
        <v>1</v>
      </c>
      <c r="Z8" s="21">
        <v>0.9</v>
      </c>
      <c r="AA8" s="102">
        <f t="shared" si="7"/>
        <v>4.3199999999999994</v>
      </c>
      <c r="AB8" s="102">
        <f t="shared" si="8"/>
        <v>4.8599999999999994</v>
      </c>
      <c r="AC8" s="102">
        <f t="shared" si="9"/>
        <v>5.3999999999999995</v>
      </c>
      <c r="AD8" s="102">
        <f t="shared" si="10"/>
        <v>4.8599999999999994</v>
      </c>
      <c r="AE8" s="102">
        <f t="shared" si="1"/>
        <v>3988.928571428572</v>
      </c>
      <c r="AF8" s="129">
        <f t="shared" si="2"/>
        <v>21540.214285714286</v>
      </c>
      <c r="AI8" s="125" t="s">
        <v>516</v>
      </c>
      <c r="AJ8" s="126">
        <f t="shared" si="11"/>
        <v>0</v>
      </c>
      <c r="AK8" s="127">
        <f>AJ8*Electricidad!$J$8</f>
        <v>0</v>
      </c>
    </row>
    <row r="9" spans="1:38" x14ac:dyDescent="0.25">
      <c r="B9" s="4" t="s">
        <v>488</v>
      </c>
      <c r="C9" s="70" t="s">
        <v>205</v>
      </c>
      <c r="D9" s="70">
        <v>1</v>
      </c>
      <c r="E9" s="70">
        <v>9</v>
      </c>
      <c r="F9" s="102">
        <f t="shared" si="3"/>
        <v>9</v>
      </c>
      <c r="G9" s="120">
        <v>9</v>
      </c>
      <c r="H9" s="120">
        <v>18</v>
      </c>
      <c r="I9" s="120"/>
      <c r="J9" s="120"/>
      <c r="K9" s="120"/>
      <c r="L9" s="120"/>
      <c r="M9" s="128">
        <f t="shared" si="4"/>
        <v>9</v>
      </c>
      <c r="N9" s="102">
        <f t="shared" si="0"/>
        <v>45</v>
      </c>
      <c r="O9" s="120">
        <v>9</v>
      </c>
      <c r="P9" s="120">
        <v>14</v>
      </c>
      <c r="Q9" s="120"/>
      <c r="R9" s="120"/>
      <c r="S9" s="120"/>
      <c r="T9" s="120"/>
      <c r="U9" s="128">
        <f t="shared" si="5"/>
        <v>5</v>
      </c>
      <c r="V9" s="102">
        <f t="shared" si="6"/>
        <v>10</v>
      </c>
      <c r="W9" s="21">
        <v>1</v>
      </c>
      <c r="X9" s="21">
        <v>0.5</v>
      </c>
      <c r="Y9" s="21">
        <v>0</v>
      </c>
      <c r="Z9" s="21">
        <v>0.5</v>
      </c>
      <c r="AA9" s="102">
        <f t="shared" si="7"/>
        <v>9</v>
      </c>
      <c r="AB9" s="102">
        <f t="shared" si="8"/>
        <v>4.5</v>
      </c>
      <c r="AC9" s="102">
        <f t="shared" si="9"/>
        <v>0</v>
      </c>
      <c r="AD9" s="102">
        <f t="shared" si="10"/>
        <v>4.5</v>
      </c>
      <c r="AE9" s="102">
        <f t="shared" si="1"/>
        <v>1433.9285714285716</v>
      </c>
      <c r="AF9" s="129">
        <f t="shared" si="2"/>
        <v>12905.357142857145</v>
      </c>
      <c r="AI9" s="125" t="s">
        <v>631</v>
      </c>
      <c r="AJ9" s="126">
        <f t="shared" si="11"/>
        <v>12123.214285714286</v>
      </c>
      <c r="AK9" s="127">
        <f>AJ9*Electricidad!$J$8</f>
        <v>1039283.6718570337</v>
      </c>
      <c r="AL9" s="166"/>
    </row>
    <row r="10" spans="1:38" x14ac:dyDescent="0.25">
      <c r="B10" s="4" t="s">
        <v>631</v>
      </c>
      <c r="C10" s="70" t="s">
        <v>211</v>
      </c>
      <c r="D10" s="70">
        <v>30</v>
      </c>
      <c r="E10" s="70">
        <v>0.09</v>
      </c>
      <c r="F10" s="102">
        <f t="shared" si="3"/>
        <v>2.6999999999999997</v>
      </c>
      <c r="G10" s="120">
        <v>9</v>
      </c>
      <c r="H10" s="120">
        <v>18</v>
      </c>
      <c r="I10" s="120"/>
      <c r="J10" s="120"/>
      <c r="K10" s="120"/>
      <c r="L10" s="120"/>
      <c r="M10" s="128">
        <f t="shared" si="4"/>
        <v>9</v>
      </c>
      <c r="N10" s="102">
        <f t="shared" si="0"/>
        <v>45</v>
      </c>
      <c r="O10" s="120">
        <v>9</v>
      </c>
      <c r="P10" s="120">
        <v>14</v>
      </c>
      <c r="Q10" s="120"/>
      <c r="R10" s="120"/>
      <c r="S10" s="120"/>
      <c r="T10" s="120"/>
      <c r="U10" s="128">
        <f t="shared" si="5"/>
        <v>5</v>
      </c>
      <c r="V10" s="102">
        <f t="shared" si="6"/>
        <v>10</v>
      </c>
      <c r="W10" s="21">
        <v>1</v>
      </c>
      <c r="X10" s="21">
        <v>1</v>
      </c>
      <c r="Y10" s="21">
        <v>1</v>
      </c>
      <c r="Z10" s="21">
        <v>1</v>
      </c>
      <c r="AA10" s="102">
        <f t="shared" si="7"/>
        <v>2.6999999999999997</v>
      </c>
      <c r="AB10" s="102">
        <f t="shared" si="8"/>
        <v>2.6999999999999997</v>
      </c>
      <c r="AC10" s="102">
        <f t="shared" si="9"/>
        <v>2.6999999999999997</v>
      </c>
      <c r="AD10" s="102">
        <f t="shared" si="10"/>
        <v>2.6999999999999997</v>
      </c>
      <c r="AE10" s="102">
        <f t="shared" si="1"/>
        <v>2867.8571428571431</v>
      </c>
      <c r="AF10" s="129">
        <f t="shared" si="2"/>
        <v>7743.2142857142853</v>
      </c>
      <c r="AI10" s="125" t="s">
        <v>534</v>
      </c>
      <c r="AJ10" s="126">
        <f t="shared" si="11"/>
        <v>171093.75</v>
      </c>
      <c r="AK10" s="127">
        <f>AJ10*Electricidad!$J$8</f>
        <v>14667309.885079104</v>
      </c>
      <c r="AL10" s="166"/>
    </row>
    <row r="11" spans="1:38" x14ac:dyDescent="0.25">
      <c r="B11" s="4" t="s">
        <v>631</v>
      </c>
      <c r="C11" s="70" t="s">
        <v>212</v>
      </c>
      <c r="D11" s="70">
        <v>1</v>
      </c>
      <c r="E11" s="70">
        <v>0.5</v>
      </c>
      <c r="F11" s="102">
        <f t="shared" si="3"/>
        <v>0.5</v>
      </c>
      <c r="G11" s="120">
        <v>0</v>
      </c>
      <c r="H11" s="120">
        <v>24</v>
      </c>
      <c r="I11" s="120"/>
      <c r="J11" s="120"/>
      <c r="K11" s="120"/>
      <c r="L11" s="120"/>
      <c r="M11" s="128">
        <f t="shared" si="4"/>
        <v>24</v>
      </c>
      <c r="N11" s="102">
        <f t="shared" si="0"/>
        <v>120</v>
      </c>
      <c r="O11" s="120">
        <v>0</v>
      </c>
      <c r="P11" s="120">
        <v>24</v>
      </c>
      <c r="Q11" s="120"/>
      <c r="R11" s="120"/>
      <c r="S11" s="120"/>
      <c r="T11" s="120"/>
      <c r="U11" s="128">
        <f t="shared" si="5"/>
        <v>24</v>
      </c>
      <c r="V11" s="102">
        <f t="shared" si="6"/>
        <v>48</v>
      </c>
      <c r="W11" s="21">
        <v>1</v>
      </c>
      <c r="X11" s="21">
        <v>1</v>
      </c>
      <c r="Y11" s="21">
        <v>1</v>
      </c>
      <c r="Z11" s="21">
        <v>1</v>
      </c>
      <c r="AA11" s="102">
        <f t="shared" si="7"/>
        <v>0.5</v>
      </c>
      <c r="AB11" s="102">
        <f t="shared" si="8"/>
        <v>0.5</v>
      </c>
      <c r="AC11" s="102">
        <f t="shared" si="9"/>
        <v>0.5</v>
      </c>
      <c r="AD11" s="102">
        <f t="shared" si="10"/>
        <v>0.5</v>
      </c>
      <c r="AE11" s="102">
        <f t="shared" si="1"/>
        <v>8760</v>
      </c>
      <c r="AF11" s="129">
        <f t="shared" si="2"/>
        <v>4380</v>
      </c>
      <c r="AI11" s="125" t="s">
        <v>547</v>
      </c>
      <c r="AJ11" s="126">
        <f t="shared" si="11"/>
        <v>242920.53571428571</v>
      </c>
      <c r="AK11" s="127">
        <f>AJ11*Electricidad!$J$8</f>
        <v>20824786.263500884</v>
      </c>
      <c r="AL11" s="166"/>
    </row>
    <row r="12" spans="1:38" x14ac:dyDescent="0.25">
      <c r="B12" s="4" t="s">
        <v>534</v>
      </c>
      <c r="C12" s="70" t="s">
        <v>329</v>
      </c>
      <c r="D12" s="70">
        <v>5</v>
      </c>
      <c r="E12" s="70">
        <v>50</v>
      </c>
      <c r="F12" s="102">
        <f t="shared" si="3"/>
        <v>250</v>
      </c>
      <c r="G12" s="120">
        <v>11</v>
      </c>
      <c r="H12" s="120">
        <v>16</v>
      </c>
      <c r="I12" s="120"/>
      <c r="J12" s="120"/>
      <c r="K12" s="120"/>
      <c r="L12" s="120"/>
      <c r="M12" s="128">
        <f t="shared" si="4"/>
        <v>5</v>
      </c>
      <c r="N12" s="102">
        <f t="shared" si="0"/>
        <v>25</v>
      </c>
      <c r="O12" s="120">
        <v>11</v>
      </c>
      <c r="P12" s="120">
        <v>16</v>
      </c>
      <c r="Q12" s="120"/>
      <c r="R12" s="120"/>
      <c r="S12" s="120"/>
      <c r="T12" s="120"/>
      <c r="U12" s="128">
        <f t="shared" si="5"/>
        <v>5</v>
      </c>
      <c r="V12" s="102">
        <f t="shared" si="6"/>
        <v>10</v>
      </c>
      <c r="W12" s="21">
        <v>1</v>
      </c>
      <c r="X12" s="21">
        <v>0.3</v>
      </c>
      <c r="Y12" s="21">
        <v>0</v>
      </c>
      <c r="Z12" s="21">
        <v>0.2</v>
      </c>
      <c r="AA12" s="102">
        <f t="shared" si="7"/>
        <v>250</v>
      </c>
      <c r="AB12" s="102">
        <f t="shared" si="8"/>
        <v>75</v>
      </c>
      <c r="AC12" s="102">
        <f t="shared" si="9"/>
        <v>0</v>
      </c>
      <c r="AD12" s="102">
        <f t="shared" si="10"/>
        <v>50</v>
      </c>
      <c r="AE12" s="102">
        <f t="shared" si="1"/>
        <v>684.375</v>
      </c>
      <c r="AF12" s="129">
        <f t="shared" si="2"/>
        <v>171093.75</v>
      </c>
      <c r="AI12" s="125" t="s">
        <v>563</v>
      </c>
      <c r="AJ12" s="126">
        <f t="shared" si="11"/>
        <v>0</v>
      </c>
      <c r="AK12" s="127">
        <f>AJ12*Electricidad!$J$8</f>
        <v>0</v>
      </c>
      <c r="AL12" s="166"/>
    </row>
    <row r="13" spans="1:38" x14ac:dyDescent="0.25">
      <c r="B13" s="4" t="s">
        <v>509</v>
      </c>
      <c r="C13" s="70" t="s">
        <v>330</v>
      </c>
      <c r="D13" s="70">
        <v>1</v>
      </c>
      <c r="E13" s="70">
        <v>16</v>
      </c>
      <c r="F13" s="102">
        <f t="shared" si="3"/>
        <v>16</v>
      </c>
      <c r="G13" s="120">
        <v>10</v>
      </c>
      <c r="H13" s="120">
        <v>18</v>
      </c>
      <c r="I13" s="120"/>
      <c r="J13" s="120"/>
      <c r="K13" s="120"/>
      <c r="L13" s="120"/>
      <c r="M13" s="128">
        <f t="shared" si="4"/>
        <v>8</v>
      </c>
      <c r="N13" s="102">
        <f t="shared" si="0"/>
        <v>40</v>
      </c>
      <c r="O13" s="120">
        <v>11</v>
      </c>
      <c r="P13" s="120">
        <v>14</v>
      </c>
      <c r="Q13" s="120"/>
      <c r="R13" s="120"/>
      <c r="S13" s="120"/>
      <c r="T13" s="120"/>
      <c r="U13" s="128">
        <f t="shared" si="5"/>
        <v>3</v>
      </c>
      <c r="V13" s="102">
        <f t="shared" si="6"/>
        <v>6</v>
      </c>
      <c r="W13" s="21">
        <v>0</v>
      </c>
      <c r="X13" s="21">
        <v>0.5</v>
      </c>
      <c r="Y13" s="21">
        <v>1</v>
      </c>
      <c r="Z13" s="21">
        <v>0.5</v>
      </c>
      <c r="AA13" s="102">
        <f t="shared" si="7"/>
        <v>0</v>
      </c>
      <c r="AB13" s="102">
        <f t="shared" si="8"/>
        <v>8</v>
      </c>
      <c r="AC13" s="102">
        <f t="shared" si="9"/>
        <v>16</v>
      </c>
      <c r="AD13" s="102">
        <f t="shared" si="10"/>
        <v>8</v>
      </c>
      <c r="AE13" s="102">
        <f t="shared" si="1"/>
        <v>1199.2857142857144</v>
      </c>
      <c r="AF13" s="129">
        <f t="shared" si="2"/>
        <v>19188.571428571431</v>
      </c>
      <c r="AI13" s="125" t="s">
        <v>575</v>
      </c>
      <c r="AJ13" s="126">
        <f t="shared" si="11"/>
        <v>0</v>
      </c>
      <c r="AK13" s="127">
        <f>AJ13*Electricidad!$J$8</f>
        <v>0</v>
      </c>
      <c r="AL13" s="166"/>
    </row>
    <row r="14" spans="1:38" x14ac:dyDescent="0.25">
      <c r="B14" s="4" t="s">
        <v>189</v>
      </c>
      <c r="C14" s="70" t="s">
        <v>632</v>
      </c>
      <c r="D14" s="70">
        <v>250</v>
      </c>
      <c r="E14" s="70">
        <v>0.4</v>
      </c>
      <c r="F14" s="102">
        <f t="shared" si="3"/>
        <v>100</v>
      </c>
      <c r="G14" s="120">
        <v>0</v>
      </c>
      <c r="H14" s="120">
        <v>24</v>
      </c>
      <c r="I14" s="120"/>
      <c r="J14" s="120"/>
      <c r="K14" s="120"/>
      <c r="L14" s="120"/>
      <c r="M14" s="128">
        <f t="shared" si="4"/>
        <v>24</v>
      </c>
      <c r="N14" s="102">
        <f t="shared" si="0"/>
        <v>120</v>
      </c>
      <c r="O14" s="120">
        <v>0</v>
      </c>
      <c r="P14" s="120">
        <v>24</v>
      </c>
      <c r="Q14" s="120"/>
      <c r="R14" s="120"/>
      <c r="S14" s="120"/>
      <c r="T14" s="120"/>
      <c r="U14" s="128">
        <f t="shared" si="5"/>
        <v>24</v>
      </c>
      <c r="V14" s="102">
        <f t="shared" si="6"/>
        <v>48</v>
      </c>
      <c r="W14" s="21">
        <v>1</v>
      </c>
      <c r="X14" s="21">
        <v>1</v>
      </c>
      <c r="Y14" s="21">
        <v>1</v>
      </c>
      <c r="Z14" s="21">
        <v>1</v>
      </c>
      <c r="AA14" s="102">
        <f t="shared" si="7"/>
        <v>100</v>
      </c>
      <c r="AB14" s="102">
        <f t="shared" si="8"/>
        <v>100</v>
      </c>
      <c r="AC14" s="102">
        <f t="shared" si="9"/>
        <v>100</v>
      </c>
      <c r="AD14" s="102">
        <f t="shared" si="10"/>
        <v>100</v>
      </c>
      <c r="AE14" s="102">
        <f t="shared" si="1"/>
        <v>8760</v>
      </c>
      <c r="AF14" s="129">
        <f t="shared" si="2"/>
        <v>876000</v>
      </c>
      <c r="AI14" s="125" t="s">
        <v>594</v>
      </c>
      <c r="AJ14" s="126">
        <f t="shared" si="11"/>
        <v>0</v>
      </c>
      <c r="AK14" s="127">
        <f>AJ14*Electricidad!$J$8</f>
        <v>0</v>
      </c>
      <c r="AL14" s="166"/>
    </row>
    <row r="15" spans="1:38" x14ac:dyDescent="0.25">
      <c r="B15" s="4" t="s">
        <v>189</v>
      </c>
      <c r="C15" s="70" t="s">
        <v>633</v>
      </c>
      <c r="D15" s="70">
        <v>1000</v>
      </c>
      <c r="E15" s="70">
        <v>0.25</v>
      </c>
      <c r="F15" s="102">
        <f t="shared" si="3"/>
        <v>250</v>
      </c>
      <c r="G15" s="120">
        <v>0</v>
      </c>
      <c r="H15" s="120">
        <v>9</v>
      </c>
      <c r="I15" s="120">
        <v>17</v>
      </c>
      <c r="J15" s="120">
        <v>24</v>
      </c>
      <c r="K15" s="120"/>
      <c r="L15" s="120"/>
      <c r="M15" s="128">
        <f t="shared" si="4"/>
        <v>16</v>
      </c>
      <c r="N15" s="102">
        <f t="shared" si="0"/>
        <v>80</v>
      </c>
      <c r="O15" s="120">
        <v>0</v>
      </c>
      <c r="P15" s="120">
        <v>9</v>
      </c>
      <c r="Q15" s="120">
        <v>17</v>
      </c>
      <c r="R15" s="120">
        <v>24</v>
      </c>
      <c r="S15" s="120"/>
      <c r="T15" s="120"/>
      <c r="U15" s="128">
        <f t="shared" si="5"/>
        <v>16</v>
      </c>
      <c r="V15" s="102">
        <f t="shared" si="6"/>
        <v>32</v>
      </c>
      <c r="W15" s="21">
        <v>0.6</v>
      </c>
      <c r="X15" s="21">
        <v>0.8</v>
      </c>
      <c r="Y15" s="21">
        <v>1</v>
      </c>
      <c r="Z15" s="21">
        <v>0.8</v>
      </c>
      <c r="AA15" s="102">
        <f t="shared" si="7"/>
        <v>150</v>
      </c>
      <c r="AB15" s="102">
        <f t="shared" si="8"/>
        <v>200</v>
      </c>
      <c r="AC15" s="102">
        <f t="shared" si="9"/>
        <v>250</v>
      </c>
      <c r="AD15" s="102">
        <f t="shared" si="10"/>
        <v>200</v>
      </c>
      <c r="AE15" s="102">
        <f t="shared" si="1"/>
        <v>4672</v>
      </c>
      <c r="AF15" s="129">
        <f t="shared" si="2"/>
        <v>1168000</v>
      </c>
      <c r="AI15" s="125" t="s">
        <v>240</v>
      </c>
      <c r="AJ15" s="126">
        <f t="shared" si="11"/>
        <v>0</v>
      </c>
      <c r="AK15" s="127">
        <f>AJ15*Electricidad!$J$8</f>
        <v>0</v>
      </c>
      <c r="AL15" s="166"/>
    </row>
    <row r="16" spans="1:38" x14ac:dyDescent="0.25">
      <c r="B16" s="4" t="s">
        <v>547</v>
      </c>
      <c r="C16" s="70" t="s">
        <v>634</v>
      </c>
      <c r="D16" s="70">
        <v>5</v>
      </c>
      <c r="E16" s="70">
        <v>5</v>
      </c>
      <c r="F16" s="102">
        <f t="shared" si="3"/>
        <v>25</v>
      </c>
      <c r="G16" s="120">
        <v>9</v>
      </c>
      <c r="H16" s="120">
        <v>18</v>
      </c>
      <c r="I16" s="120"/>
      <c r="J16" s="120"/>
      <c r="K16" s="120"/>
      <c r="L16" s="120"/>
      <c r="M16" s="128">
        <f t="shared" si="4"/>
        <v>9</v>
      </c>
      <c r="N16" s="102">
        <f t="shared" si="0"/>
        <v>45</v>
      </c>
      <c r="O16" s="120">
        <v>9</v>
      </c>
      <c r="P16" s="120">
        <v>14</v>
      </c>
      <c r="Q16" s="120"/>
      <c r="R16" s="120"/>
      <c r="S16" s="120"/>
      <c r="T16" s="120"/>
      <c r="U16" s="128">
        <f t="shared" si="5"/>
        <v>5</v>
      </c>
      <c r="V16" s="102">
        <f t="shared" si="6"/>
        <v>10</v>
      </c>
      <c r="W16" s="21">
        <v>1</v>
      </c>
      <c r="X16" s="21">
        <v>1</v>
      </c>
      <c r="Y16" s="21">
        <v>1</v>
      </c>
      <c r="Z16" s="21">
        <v>1</v>
      </c>
      <c r="AA16" s="102">
        <f t="shared" si="7"/>
        <v>25</v>
      </c>
      <c r="AB16" s="102">
        <f t="shared" si="8"/>
        <v>25</v>
      </c>
      <c r="AC16" s="102">
        <f t="shared" si="9"/>
        <v>25</v>
      </c>
      <c r="AD16" s="102">
        <f t="shared" si="10"/>
        <v>25</v>
      </c>
      <c r="AE16" s="102">
        <f t="shared" si="1"/>
        <v>2867.8571428571431</v>
      </c>
      <c r="AF16" s="129">
        <f t="shared" si="2"/>
        <v>71696.42857142858</v>
      </c>
      <c r="AL16" s="166"/>
    </row>
    <row r="17" spans="2:38" x14ac:dyDescent="0.25">
      <c r="B17" s="4" t="s">
        <v>188</v>
      </c>
      <c r="C17" s="70"/>
      <c r="D17" s="70"/>
      <c r="E17" s="70"/>
      <c r="F17" s="102">
        <f t="shared" si="3"/>
        <v>0</v>
      </c>
      <c r="G17" s="120"/>
      <c r="H17" s="120"/>
      <c r="I17" s="120"/>
      <c r="J17" s="120"/>
      <c r="K17" s="120"/>
      <c r="L17" s="120"/>
      <c r="M17" s="128">
        <f t="shared" si="4"/>
        <v>0</v>
      </c>
      <c r="N17" s="102">
        <f t="shared" si="0"/>
        <v>0</v>
      </c>
      <c r="O17" s="120"/>
      <c r="P17" s="120"/>
      <c r="Q17" s="120"/>
      <c r="R17" s="120"/>
      <c r="S17" s="120"/>
      <c r="T17" s="120"/>
      <c r="U17" s="128">
        <f t="shared" si="5"/>
        <v>0</v>
      </c>
      <c r="V17" s="102">
        <f t="shared" si="6"/>
        <v>0</v>
      </c>
      <c r="W17" s="21"/>
      <c r="X17" s="21"/>
      <c r="Y17" s="21"/>
      <c r="Z17" s="21"/>
      <c r="AA17" s="102">
        <f t="shared" si="7"/>
        <v>0</v>
      </c>
      <c r="AB17" s="102">
        <f t="shared" si="8"/>
        <v>0</v>
      </c>
      <c r="AC17" s="102">
        <f t="shared" si="9"/>
        <v>0</v>
      </c>
      <c r="AD17" s="102">
        <f t="shared" si="10"/>
        <v>0</v>
      </c>
      <c r="AE17" s="102">
        <f t="shared" si="1"/>
        <v>0</v>
      </c>
      <c r="AF17" s="129">
        <f t="shared" si="2"/>
        <v>0</v>
      </c>
      <c r="AI17" s="283" t="s">
        <v>392</v>
      </c>
      <c r="AJ17" s="317">
        <f>ABS((SUM(Electricidad!C24:C35)-SUM(AJ5:AJ15))/SUM(Electricidad!C24:C35))</f>
        <v>1.6076879467594592E-3</v>
      </c>
      <c r="AK17" s="174" t="str">
        <f>IF(AJ17&gt;5%,"Ajustar usos","")</f>
        <v/>
      </c>
      <c r="AL17" s="166"/>
    </row>
    <row r="18" spans="2:38" x14ac:dyDescent="0.25">
      <c r="B18" s="4" t="s">
        <v>188</v>
      </c>
      <c r="C18" s="70"/>
      <c r="D18" s="70"/>
      <c r="E18" s="70"/>
      <c r="F18" s="102">
        <f t="shared" si="3"/>
        <v>0</v>
      </c>
      <c r="G18" s="120"/>
      <c r="H18" s="120"/>
      <c r="I18" s="120"/>
      <c r="J18" s="120"/>
      <c r="K18" s="120"/>
      <c r="L18" s="120"/>
      <c r="M18" s="128">
        <f t="shared" si="4"/>
        <v>0</v>
      </c>
      <c r="N18" s="102">
        <f t="shared" si="0"/>
        <v>0</v>
      </c>
      <c r="O18" s="120"/>
      <c r="P18" s="120"/>
      <c r="Q18" s="120"/>
      <c r="R18" s="120"/>
      <c r="S18" s="120"/>
      <c r="T18" s="120"/>
      <c r="U18" s="128">
        <f t="shared" si="5"/>
        <v>0</v>
      </c>
      <c r="V18" s="102">
        <f t="shared" si="6"/>
        <v>0</v>
      </c>
      <c r="W18" s="21"/>
      <c r="X18" s="21"/>
      <c r="Y18" s="21"/>
      <c r="Z18" s="21"/>
      <c r="AA18" s="102">
        <f t="shared" si="7"/>
        <v>0</v>
      </c>
      <c r="AB18" s="102">
        <f t="shared" si="8"/>
        <v>0</v>
      </c>
      <c r="AC18" s="102">
        <f t="shared" si="9"/>
        <v>0</v>
      </c>
      <c r="AD18" s="102">
        <f t="shared" si="10"/>
        <v>0</v>
      </c>
      <c r="AE18" s="102">
        <f t="shared" si="1"/>
        <v>0</v>
      </c>
      <c r="AF18" s="129">
        <f t="shared" si="2"/>
        <v>0</v>
      </c>
      <c r="AL18" s="166"/>
    </row>
    <row r="19" spans="2:38" x14ac:dyDescent="0.25">
      <c r="B19" s="4" t="s">
        <v>188</v>
      </c>
      <c r="C19" s="70"/>
      <c r="D19" s="70"/>
      <c r="E19" s="70"/>
      <c r="F19" s="102">
        <f t="shared" si="3"/>
        <v>0</v>
      </c>
      <c r="G19" s="120"/>
      <c r="H19" s="120"/>
      <c r="I19" s="120"/>
      <c r="J19" s="120"/>
      <c r="K19" s="120"/>
      <c r="L19" s="120"/>
      <c r="M19" s="128">
        <f t="shared" si="4"/>
        <v>0</v>
      </c>
      <c r="N19" s="102">
        <f t="shared" si="0"/>
        <v>0</v>
      </c>
      <c r="O19" s="120"/>
      <c r="P19" s="120"/>
      <c r="Q19" s="120"/>
      <c r="R19" s="120"/>
      <c r="S19" s="120"/>
      <c r="T19" s="120"/>
      <c r="U19" s="128">
        <f t="shared" si="5"/>
        <v>0</v>
      </c>
      <c r="V19" s="102">
        <f t="shared" si="6"/>
        <v>0</v>
      </c>
      <c r="W19" s="21"/>
      <c r="X19" s="21"/>
      <c r="Y19" s="21"/>
      <c r="Z19" s="21"/>
      <c r="AA19" s="102">
        <f t="shared" si="7"/>
        <v>0</v>
      </c>
      <c r="AB19" s="102">
        <f t="shared" si="8"/>
        <v>0</v>
      </c>
      <c r="AC19" s="102">
        <f t="shared" si="9"/>
        <v>0</v>
      </c>
      <c r="AD19" s="102">
        <f t="shared" si="10"/>
        <v>0</v>
      </c>
      <c r="AE19" s="102">
        <f t="shared" si="1"/>
        <v>0</v>
      </c>
      <c r="AF19" s="129">
        <f t="shared" si="2"/>
        <v>0</v>
      </c>
      <c r="AL19" s="166"/>
    </row>
    <row r="20" spans="2:38" x14ac:dyDescent="0.25">
      <c r="B20" s="4" t="s">
        <v>188</v>
      </c>
      <c r="C20" s="70"/>
      <c r="D20" s="70"/>
      <c r="E20" s="70"/>
      <c r="F20" s="102">
        <f t="shared" si="3"/>
        <v>0</v>
      </c>
      <c r="G20" s="120"/>
      <c r="H20" s="120"/>
      <c r="I20" s="120"/>
      <c r="J20" s="120"/>
      <c r="K20" s="120"/>
      <c r="L20" s="120"/>
      <c r="M20" s="128">
        <f t="shared" si="4"/>
        <v>0</v>
      </c>
      <c r="N20" s="102">
        <f t="shared" si="0"/>
        <v>0</v>
      </c>
      <c r="O20" s="120"/>
      <c r="P20" s="120"/>
      <c r="Q20" s="120"/>
      <c r="R20" s="120"/>
      <c r="S20" s="120"/>
      <c r="T20" s="120"/>
      <c r="U20" s="128">
        <f t="shared" si="5"/>
        <v>0</v>
      </c>
      <c r="V20" s="102">
        <f t="shared" si="6"/>
        <v>0</v>
      </c>
      <c r="W20" s="21"/>
      <c r="X20" s="21"/>
      <c r="Y20" s="21"/>
      <c r="Z20" s="21"/>
      <c r="AA20" s="102">
        <f t="shared" si="7"/>
        <v>0</v>
      </c>
      <c r="AB20" s="102">
        <f t="shared" si="8"/>
        <v>0</v>
      </c>
      <c r="AC20" s="102">
        <f t="shared" si="9"/>
        <v>0</v>
      </c>
      <c r="AD20" s="102">
        <f t="shared" si="10"/>
        <v>0</v>
      </c>
      <c r="AE20" s="102">
        <f t="shared" si="1"/>
        <v>0</v>
      </c>
      <c r="AF20" s="129">
        <f t="shared" si="2"/>
        <v>0</v>
      </c>
      <c r="AL20" s="166"/>
    </row>
    <row r="21" spans="2:38" x14ac:dyDescent="0.25">
      <c r="B21" s="4" t="s">
        <v>188</v>
      </c>
      <c r="C21" s="70"/>
      <c r="D21" s="70"/>
      <c r="E21" s="70"/>
      <c r="F21" s="102">
        <f t="shared" si="3"/>
        <v>0</v>
      </c>
      <c r="G21" s="120"/>
      <c r="H21" s="120"/>
      <c r="I21" s="120"/>
      <c r="J21" s="120"/>
      <c r="K21" s="120"/>
      <c r="L21" s="120"/>
      <c r="M21" s="128">
        <f t="shared" si="4"/>
        <v>0</v>
      </c>
      <c r="N21" s="102">
        <f t="shared" si="0"/>
        <v>0</v>
      </c>
      <c r="O21" s="120"/>
      <c r="P21" s="120"/>
      <c r="Q21" s="120"/>
      <c r="R21" s="120"/>
      <c r="S21" s="120"/>
      <c r="T21" s="120"/>
      <c r="U21" s="128">
        <f t="shared" si="5"/>
        <v>0</v>
      </c>
      <c r="V21" s="102">
        <f t="shared" si="6"/>
        <v>0</v>
      </c>
      <c r="W21" s="21"/>
      <c r="X21" s="21"/>
      <c r="Y21" s="21"/>
      <c r="Z21" s="21"/>
      <c r="AA21" s="102">
        <f t="shared" si="7"/>
        <v>0</v>
      </c>
      <c r="AB21" s="102">
        <f t="shared" si="8"/>
        <v>0</v>
      </c>
      <c r="AC21" s="102">
        <f t="shared" si="9"/>
        <v>0</v>
      </c>
      <c r="AD21" s="102">
        <f t="shared" si="10"/>
        <v>0</v>
      </c>
      <c r="AE21" s="102">
        <f t="shared" si="1"/>
        <v>0</v>
      </c>
      <c r="AF21" s="129">
        <f t="shared" si="2"/>
        <v>0</v>
      </c>
    </row>
    <row r="22" spans="2:38" x14ac:dyDescent="0.25">
      <c r="B22" s="4" t="s">
        <v>188</v>
      </c>
      <c r="C22" s="70"/>
      <c r="D22" s="70"/>
      <c r="E22" s="70"/>
      <c r="F22" s="102">
        <f t="shared" si="3"/>
        <v>0</v>
      </c>
      <c r="G22" s="120"/>
      <c r="H22" s="120"/>
      <c r="I22" s="120"/>
      <c r="J22" s="120"/>
      <c r="K22" s="120"/>
      <c r="L22" s="120"/>
      <c r="M22" s="128">
        <f t="shared" si="4"/>
        <v>0</v>
      </c>
      <c r="N22" s="102">
        <f t="shared" si="0"/>
        <v>0</v>
      </c>
      <c r="O22" s="120"/>
      <c r="P22" s="120"/>
      <c r="Q22" s="120"/>
      <c r="R22" s="120"/>
      <c r="S22" s="120"/>
      <c r="T22" s="120"/>
      <c r="U22" s="128">
        <f t="shared" si="5"/>
        <v>0</v>
      </c>
      <c r="V22" s="102">
        <f t="shared" si="6"/>
        <v>0</v>
      </c>
      <c r="W22" s="21"/>
      <c r="X22" s="21"/>
      <c r="Y22" s="21"/>
      <c r="Z22" s="21"/>
      <c r="AA22" s="102">
        <f t="shared" si="7"/>
        <v>0</v>
      </c>
      <c r="AB22" s="102">
        <f t="shared" si="8"/>
        <v>0</v>
      </c>
      <c r="AC22" s="102">
        <f t="shared" si="9"/>
        <v>0</v>
      </c>
      <c r="AD22" s="102">
        <f t="shared" si="10"/>
        <v>0</v>
      </c>
      <c r="AE22" s="102">
        <f t="shared" si="1"/>
        <v>0</v>
      </c>
      <c r="AF22" s="129">
        <f t="shared" si="2"/>
        <v>0</v>
      </c>
    </row>
    <row r="23" spans="2:38" x14ac:dyDescent="0.25">
      <c r="B23" s="4" t="s">
        <v>188</v>
      </c>
      <c r="C23" s="70"/>
      <c r="D23" s="70"/>
      <c r="E23" s="70"/>
      <c r="F23" s="102">
        <f t="shared" si="3"/>
        <v>0</v>
      </c>
      <c r="G23" s="120"/>
      <c r="H23" s="120"/>
      <c r="I23" s="120"/>
      <c r="J23" s="120"/>
      <c r="K23" s="120"/>
      <c r="L23" s="120"/>
      <c r="M23" s="128">
        <f t="shared" si="4"/>
        <v>0</v>
      </c>
      <c r="N23" s="102">
        <f t="shared" si="0"/>
        <v>0</v>
      </c>
      <c r="O23" s="120"/>
      <c r="P23" s="120"/>
      <c r="Q23" s="120"/>
      <c r="R23" s="120"/>
      <c r="S23" s="120"/>
      <c r="T23" s="120"/>
      <c r="U23" s="128">
        <f t="shared" si="5"/>
        <v>0</v>
      </c>
      <c r="V23" s="102">
        <f t="shared" si="6"/>
        <v>0</v>
      </c>
      <c r="W23" s="21"/>
      <c r="X23" s="21"/>
      <c r="Y23" s="21"/>
      <c r="Z23" s="21"/>
      <c r="AA23" s="102">
        <f t="shared" si="7"/>
        <v>0</v>
      </c>
      <c r="AB23" s="102">
        <f t="shared" si="8"/>
        <v>0</v>
      </c>
      <c r="AC23" s="102">
        <f t="shared" si="9"/>
        <v>0</v>
      </c>
      <c r="AD23" s="102">
        <f t="shared" si="10"/>
        <v>0</v>
      </c>
      <c r="AE23" s="102">
        <f t="shared" si="1"/>
        <v>0</v>
      </c>
      <c r="AF23" s="129">
        <f t="shared" si="2"/>
        <v>0</v>
      </c>
    </row>
    <row r="24" spans="2:38" x14ac:dyDescent="0.25">
      <c r="B24" s="4" t="s">
        <v>188</v>
      </c>
      <c r="C24" s="70"/>
      <c r="D24" s="70"/>
      <c r="E24" s="70"/>
      <c r="F24" s="102">
        <f t="shared" si="3"/>
        <v>0</v>
      </c>
      <c r="G24" s="120"/>
      <c r="H24" s="120"/>
      <c r="I24" s="120"/>
      <c r="J24" s="120"/>
      <c r="K24" s="120"/>
      <c r="L24" s="120"/>
      <c r="M24" s="128">
        <f t="shared" si="4"/>
        <v>0</v>
      </c>
      <c r="N24" s="102">
        <f t="shared" si="0"/>
        <v>0</v>
      </c>
      <c r="O24" s="120"/>
      <c r="P24" s="120"/>
      <c r="Q24" s="120"/>
      <c r="R24" s="120"/>
      <c r="S24" s="120"/>
      <c r="T24" s="120"/>
      <c r="U24" s="128">
        <f t="shared" si="5"/>
        <v>0</v>
      </c>
      <c r="V24" s="102">
        <f t="shared" si="6"/>
        <v>0</v>
      </c>
      <c r="W24" s="21"/>
      <c r="X24" s="21"/>
      <c r="Y24" s="21"/>
      <c r="Z24" s="21"/>
      <c r="AA24" s="102">
        <f t="shared" si="7"/>
        <v>0</v>
      </c>
      <c r="AB24" s="102">
        <f t="shared" si="8"/>
        <v>0</v>
      </c>
      <c r="AC24" s="102">
        <f t="shared" si="9"/>
        <v>0</v>
      </c>
      <c r="AD24" s="102">
        <f t="shared" si="10"/>
        <v>0</v>
      </c>
      <c r="AE24" s="102">
        <f t="shared" si="1"/>
        <v>0</v>
      </c>
      <c r="AF24" s="129">
        <f t="shared" si="2"/>
        <v>0</v>
      </c>
    </row>
    <row r="25" spans="2:38" x14ac:dyDescent="0.25">
      <c r="B25" s="4" t="s">
        <v>188</v>
      </c>
      <c r="C25" s="70"/>
      <c r="D25" s="70"/>
      <c r="E25" s="70"/>
      <c r="F25" s="102">
        <f t="shared" si="3"/>
        <v>0</v>
      </c>
      <c r="G25" s="120"/>
      <c r="H25" s="120"/>
      <c r="I25" s="120"/>
      <c r="J25" s="120"/>
      <c r="K25" s="120"/>
      <c r="L25" s="120"/>
      <c r="M25" s="128">
        <f t="shared" si="4"/>
        <v>0</v>
      </c>
      <c r="N25" s="102">
        <f t="shared" si="0"/>
        <v>0</v>
      </c>
      <c r="O25" s="120"/>
      <c r="P25" s="120"/>
      <c r="Q25" s="120"/>
      <c r="R25" s="120"/>
      <c r="S25" s="120"/>
      <c r="T25" s="120"/>
      <c r="U25" s="128">
        <f t="shared" si="5"/>
        <v>0</v>
      </c>
      <c r="V25" s="102">
        <f t="shared" si="6"/>
        <v>0</v>
      </c>
      <c r="W25" s="21"/>
      <c r="X25" s="21"/>
      <c r="Y25" s="21"/>
      <c r="Z25" s="21"/>
      <c r="AA25" s="102">
        <f t="shared" si="7"/>
        <v>0</v>
      </c>
      <c r="AB25" s="102">
        <f t="shared" si="8"/>
        <v>0</v>
      </c>
      <c r="AC25" s="102">
        <f t="shared" si="9"/>
        <v>0</v>
      </c>
      <c r="AD25" s="102">
        <f t="shared" si="10"/>
        <v>0</v>
      </c>
      <c r="AE25" s="102">
        <f t="shared" si="1"/>
        <v>0</v>
      </c>
      <c r="AF25" s="129">
        <f t="shared" si="2"/>
        <v>0</v>
      </c>
    </row>
    <row r="26" spans="2:38" x14ac:dyDescent="0.25">
      <c r="B26" s="4" t="s">
        <v>188</v>
      </c>
      <c r="C26" s="70"/>
      <c r="D26" s="70"/>
      <c r="E26" s="70"/>
      <c r="F26" s="102">
        <f t="shared" si="3"/>
        <v>0</v>
      </c>
      <c r="G26" s="120"/>
      <c r="H26" s="120"/>
      <c r="I26" s="120"/>
      <c r="J26" s="120"/>
      <c r="K26" s="120"/>
      <c r="L26" s="120"/>
      <c r="M26" s="128">
        <f t="shared" si="4"/>
        <v>0</v>
      </c>
      <c r="N26" s="102">
        <f t="shared" si="0"/>
        <v>0</v>
      </c>
      <c r="O26" s="120"/>
      <c r="P26" s="120"/>
      <c r="Q26" s="120"/>
      <c r="R26" s="120"/>
      <c r="S26" s="120"/>
      <c r="T26" s="120"/>
      <c r="U26" s="128">
        <f t="shared" si="5"/>
        <v>0</v>
      </c>
      <c r="V26" s="102">
        <f t="shared" si="6"/>
        <v>0</v>
      </c>
      <c r="W26" s="21"/>
      <c r="X26" s="21"/>
      <c r="Y26" s="21"/>
      <c r="Z26" s="21"/>
      <c r="AA26" s="102">
        <f t="shared" si="7"/>
        <v>0</v>
      </c>
      <c r="AB26" s="102">
        <f t="shared" si="8"/>
        <v>0</v>
      </c>
      <c r="AC26" s="102">
        <f t="shared" si="9"/>
        <v>0</v>
      </c>
      <c r="AD26" s="102">
        <f t="shared" si="10"/>
        <v>0</v>
      </c>
      <c r="AE26" s="102">
        <f t="shared" si="1"/>
        <v>0</v>
      </c>
      <c r="AF26" s="129">
        <f t="shared" si="2"/>
        <v>0</v>
      </c>
    </row>
    <row r="27" spans="2:38" x14ac:dyDescent="0.25">
      <c r="B27" s="4" t="s">
        <v>188</v>
      </c>
      <c r="C27" s="70"/>
      <c r="D27" s="70"/>
      <c r="E27" s="70"/>
      <c r="F27" s="102">
        <f t="shared" si="3"/>
        <v>0</v>
      </c>
      <c r="G27" s="120"/>
      <c r="H27" s="120"/>
      <c r="I27" s="120"/>
      <c r="J27" s="120"/>
      <c r="K27" s="120"/>
      <c r="L27" s="120"/>
      <c r="M27" s="128">
        <f t="shared" si="4"/>
        <v>0</v>
      </c>
      <c r="N27" s="102">
        <f t="shared" si="0"/>
        <v>0</v>
      </c>
      <c r="O27" s="120"/>
      <c r="P27" s="120"/>
      <c r="Q27" s="120"/>
      <c r="R27" s="120"/>
      <c r="S27" s="120"/>
      <c r="T27" s="120"/>
      <c r="U27" s="128">
        <f t="shared" si="5"/>
        <v>0</v>
      </c>
      <c r="V27" s="102">
        <f t="shared" si="6"/>
        <v>0</v>
      </c>
      <c r="W27" s="21"/>
      <c r="X27" s="21"/>
      <c r="Y27" s="21"/>
      <c r="Z27" s="21"/>
      <c r="AA27" s="102">
        <f t="shared" si="7"/>
        <v>0</v>
      </c>
      <c r="AB27" s="102">
        <f t="shared" si="8"/>
        <v>0</v>
      </c>
      <c r="AC27" s="102">
        <f t="shared" si="9"/>
        <v>0</v>
      </c>
      <c r="AD27" s="102">
        <f t="shared" si="10"/>
        <v>0</v>
      </c>
      <c r="AE27" s="102">
        <f t="shared" si="1"/>
        <v>0</v>
      </c>
      <c r="AF27" s="129">
        <f t="shared" si="2"/>
        <v>0</v>
      </c>
    </row>
    <row r="28" spans="2:38" x14ac:dyDescent="0.25">
      <c r="B28" s="4" t="s">
        <v>188</v>
      </c>
      <c r="C28" s="70"/>
      <c r="D28" s="70"/>
      <c r="E28" s="70"/>
      <c r="F28" s="102">
        <f t="shared" si="3"/>
        <v>0</v>
      </c>
      <c r="G28" s="120"/>
      <c r="H28" s="120"/>
      <c r="I28" s="120"/>
      <c r="J28" s="120"/>
      <c r="K28" s="120"/>
      <c r="L28" s="120"/>
      <c r="M28" s="128">
        <f t="shared" si="4"/>
        <v>0</v>
      </c>
      <c r="N28" s="102">
        <f t="shared" si="0"/>
        <v>0</v>
      </c>
      <c r="O28" s="120"/>
      <c r="P28" s="120"/>
      <c r="Q28" s="120"/>
      <c r="R28" s="120"/>
      <c r="S28" s="120"/>
      <c r="T28" s="120"/>
      <c r="U28" s="128">
        <f t="shared" si="5"/>
        <v>0</v>
      </c>
      <c r="V28" s="102">
        <f t="shared" si="6"/>
        <v>0</v>
      </c>
      <c r="W28" s="21"/>
      <c r="X28" s="21"/>
      <c r="Y28" s="21"/>
      <c r="Z28" s="21"/>
      <c r="AA28" s="102">
        <f t="shared" si="7"/>
        <v>0</v>
      </c>
      <c r="AB28" s="102">
        <f t="shared" si="8"/>
        <v>0</v>
      </c>
      <c r="AC28" s="102">
        <f t="shared" si="9"/>
        <v>0</v>
      </c>
      <c r="AD28" s="102">
        <f t="shared" si="10"/>
        <v>0</v>
      </c>
      <c r="AE28" s="102">
        <f t="shared" si="1"/>
        <v>0</v>
      </c>
      <c r="AF28" s="129">
        <f t="shared" si="2"/>
        <v>0</v>
      </c>
    </row>
    <row r="29" spans="2:38" x14ac:dyDescent="0.25">
      <c r="B29" s="4" t="s">
        <v>188</v>
      </c>
      <c r="C29" s="70"/>
      <c r="D29" s="70"/>
      <c r="E29" s="70"/>
      <c r="F29" s="102">
        <f t="shared" si="3"/>
        <v>0</v>
      </c>
      <c r="G29" s="120"/>
      <c r="H29" s="120"/>
      <c r="I29" s="120"/>
      <c r="J29" s="120"/>
      <c r="K29" s="120"/>
      <c r="L29" s="120"/>
      <c r="M29" s="128">
        <f t="shared" si="4"/>
        <v>0</v>
      </c>
      <c r="N29" s="102">
        <f t="shared" si="0"/>
        <v>0</v>
      </c>
      <c r="O29" s="120"/>
      <c r="P29" s="120"/>
      <c r="Q29" s="120"/>
      <c r="R29" s="120"/>
      <c r="S29" s="120"/>
      <c r="T29" s="120"/>
      <c r="U29" s="128">
        <f t="shared" si="5"/>
        <v>0</v>
      </c>
      <c r="V29" s="102">
        <f t="shared" si="6"/>
        <v>0</v>
      </c>
      <c r="W29" s="21"/>
      <c r="X29" s="21"/>
      <c r="Y29" s="21"/>
      <c r="Z29" s="21"/>
      <c r="AA29" s="102">
        <f t="shared" si="7"/>
        <v>0</v>
      </c>
      <c r="AB29" s="102">
        <f t="shared" si="8"/>
        <v>0</v>
      </c>
      <c r="AC29" s="102">
        <f t="shared" si="9"/>
        <v>0</v>
      </c>
      <c r="AD29" s="102">
        <f t="shared" si="10"/>
        <v>0</v>
      </c>
      <c r="AE29" s="102">
        <f t="shared" si="1"/>
        <v>0</v>
      </c>
      <c r="AF29" s="129">
        <f t="shared" si="2"/>
        <v>0</v>
      </c>
    </row>
    <row r="30" spans="2:38" x14ac:dyDescent="0.25">
      <c r="B30" s="4" t="s">
        <v>188</v>
      </c>
      <c r="C30" s="70"/>
      <c r="D30" s="70"/>
      <c r="E30" s="70"/>
      <c r="F30" s="102">
        <f t="shared" si="3"/>
        <v>0</v>
      </c>
      <c r="G30" s="120"/>
      <c r="H30" s="120"/>
      <c r="I30" s="120"/>
      <c r="J30" s="120"/>
      <c r="K30" s="120"/>
      <c r="L30" s="120"/>
      <c r="M30" s="128">
        <f t="shared" si="4"/>
        <v>0</v>
      </c>
      <c r="N30" s="102">
        <f t="shared" si="0"/>
        <v>0</v>
      </c>
      <c r="O30" s="120"/>
      <c r="P30" s="120"/>
      <c r="Q30" s="120"/>
      <c r="R30" s="120"/>
      <c r="S30" s="120"/>
      <c r="T30" s="120"/>
      <c r="U30" s="128">
        <f t="shared" si="5"/>
        <v>0</v>
      </c>
      <c r="V30" s="102">
        <f t="shared" si="6"/>
        <v>0</v>
      </c>
      <c r="W30" s="21"/>
      <c r="X30" s="21"/>
      <c r="Y30" s="21"/>
      <c r="Z30" s="21"/>
      <c r="AA30" s="102">
        <f t="shared" si="7"/>
        <v>0</v>
      </c>
      <c r="AB30" s="102">
        <f t="shared" si="8"/>
        <v>0</v>
      </c>
      <c r="AC30" s="102">
        <f t="shared" si="9"/>
        <v>0</v>
      </c>
      <c r="AD30" s="102">
        <f t="shared" si="10"/>
        <v>0</v>
      </c>
      <c r="AE30" s="102">
        <f t="shared" si="1"/>
        <v>0</v>
      </c>
      <c r="AF30" s="129">
        <f t="shared" si="2"/>
        <v>0</v>
      </c>
    </row>
    <row r="31" spans="2:38" x14ac:dyDescent="0.25">
      <c r="B31" s="4" t="s">
        <v>188</v>
      </c>
      <c r="C31" s="70"/>
      <c r="D31" s="70"/>
      <c r="E31" s="70"/>
      <c r="F31" s="102">
        <f t="shared" si="3"/>
        <v>0</v>
      </c>
      <c r="G31" s="120"/>
      <c r="H31" s="120"/>
      <c r="I31" s="120"/>
      <c r="J31" s="120"/>
      <c r="K31" s="120"/>
      <c r="L31" s="120"/>
      <c r="M31" s="128">
        <f t="shared" si="4"/>
        <v>0</v>
      </c>
      <c r="N31" s="102">
        <f t="shared" si="0"/>
        <v>0</v>
      </c>
      <c r="O31" s="120"/>
      <c r="P31" s="120"/>
      <c r="Q31" s="120"/>
      <c r="R31" s="120"/>
      <c r="S31" s="120"/>
      <c r="T31" s="120"/>
      <c r="U31" s="128">
        <f t="shared" si="5"/>
        <v>0</v>
      </c>
      <c r="V31" s="102">
        <f t="shared" si="6"/>
        <v>0</v>
      </c>
      <c r="W31" s="21"/>
      <c r="X31" s="21"/>
      <c r="Y31" s="21"/>
      <c r="Z31" s="21"/>
      <c r="AA31" s="102">
        <f t="shared" si="7"/>
        <v>0</v>
      </c>
      <c r="AB31" s="102">
        <f t="shared" si="8"/>
        <v>0</v>
      </c>
      <c r="AC31" s="102">
        <f t="shared" si="9"/>
        <v>0</v>
      </c>
      <c r="AD31" s="102">
        <f t="shared" si="10"/>
        <v>0</v>
      </c>
      <c r="AE31" s="102">
        <f t="shared" si="1"/>
        <v>0</v>
      </c>
      <c r="AF31" s="129">
        <f t="shared" si="2"/>
        <v>0</v>
      </c>
    </row>
    <row r="32" spans="2:38" x14ac:dyDescent="0.25">
      <c r="B32" s="4" t="s">
        <v>188</v>
      </c>
      <c r="C32" s="70"/>
      <c r="D32" s="70"/>
      <c r="E32" s="70"/>
      <c r="F32" s="102">
        <f t="shared" si="3"/>
        <v>0</v>
      </c>
      <c r="G32" s="120"/>
      <c r="H32" s="120"/>
      <c r="I32" s="120"/>
      <c r="J32" s="120"/>
      <c r="K32" s="120"/>
      <c r="L32" s="120"/>
      <c r="M32" s="128">
        <f t="shared" si="4"/>
        <v>0</v>
      </c>
      <c r="N32" s="102">
        <f t="shared" si="0"/>
        <v>0</v>
      </c>
      <c r="O32" s="120"/>
      <c r="P32" s="120"/>
      <c r="Q32" s="120"/>
      <c r="R32" s="120"/>
      <c r="S32" s="120"/>
      <c r="T32" s="120"/>
      <c r="U32" s="128">
        <f t="shared" si="5"/>
        <v>0</v>
      </c>
      <c r="V32" s="102">
        <f t="shared" si="6"/>
        <v>0</v>
      </c>
      <c r="W32" s="21"/>
      <c r="X32" s="21"/>
      <c r="Y32" s="21"/>
      <c r="Z32" s="21"/>
      <c r="AA32" s="102">
        <f t="shared" si="7"/>
        <v>0</v>
      </c>
      <c r="AB32" s="102">
        <f t="shared" si="8"/>
        <v>0</v>
      </c>
      <c r="AC32" s="102">
        <f t="shared" si="9"/>
        <v>0</v>
      </c>
      <c r="AD32" s="102">
        <f t="shared" si="10"/>
        <v>0</v>
      </c>
      <c r="AE32" s="102">
        <f t="shared" si="1"/>
        <v>0</v>
      </c>
      <c r="AF32" s="129">
        <f t="shared" si="2"/>
        <v>0</v>
      </c>
    </row>
    <row r="33" spans="2:32" x14ac:dyDescent="0.25">
      <c r="B33" s="4" t="s">
        <v>188</v>
      </c>
      <c r="C33" s="70"/>
      <c r="D33" s="70"/>
      <c r="E33" s="70"/>
      <c r="F33" s="102">
        <f t="shared" si="3"/>
        <v>0</v>
      </c>
      <c r="G33" s="120"/>
      <c r="H33" s="120"/>
      <c r="I33" s="120"/>
      <c r="J33" s="120"/>
      <c r="K33" s="120"/>
      <c r="L33" s="120"/>
      <c r="M33" s="128">
        <f t="shared" si="4"/>
        <v>0</v>
      </c>
      <c r="N33" s="102">
        <f t="shared" si="0"/>
        <v>0</v>
      </c>
      <c r="O33" s="120"/>
      <c r="P33" s="120"/>
      <c r="Q33" s="120"/>
      <c r="R33" s="120"/>
      <c r="S33" s="120"/>
      <c r="T33" s="120"/>
      <c r="U33" s="128">
        <f t="shared" si="5"/>
        <v>0</v>
      </c>
      <c r="V33" s="102">
        <f t="shared" si="6"/>
        <v>0</v>
      </c>
      <c r="W33" s="21"/>
      <c r="X33" s="21"/>
      <c r="Y33" s="21"/>
      <c r="Z33" s="21"/>
      <c r="AA33" s="102">
        <f t="shared" si="7"/>
        <v>0</v>
      </c>
      <c r="AB33" s="102">
        <f t="shared" si="8"/>
        <v>0</v>
      </c>
      <c r="AC33" s="102">
        <f t="shared" si="9"/>
        <v>0</v>
      </c>
      <c r="AD33" s="102">
        <f t="shared" si="10"/>
        <v>0</v>
      </c>
      <c r="AE33" s="102">
        <f t="shared" si="1"/>
        <v>0</v>
      </c>
      <c r="AF33" s="129">
        <f t="shared" si="2"/>
        <v>0</v>
      </c>
    </row>
    <row r="34" spans="2:32" x14ac:dyDescent="0.25">
      <c r="B34" s="4" t="s">
        <v>188</v>
      </c>
      <c r="C34" s="70"/>
      <c r="D34" s="70"/>
      <c r="E34" s="70"/>
      <c r="F34" s="102">
        <f t="shared" si="3"/>
        <v>0</v>
      </c>
      <c r="G34" s="120"/>
      <c r="H34" s="120"/>
      <c r="I34" s="120"/>
      <c r="J34" s="120"/>
      <c r="K34" s="120"/>
      <c r="L34" s="120"/>
      <c r="M34" s="128">
        <f t="shared" si="4"/>
        <v>0</v>
      </c>
      <c r="N34" s="102">
        <f t="shared" si="0"/>
        <v>0</v>
      </c>
      <c r="O34" s="120"/>
      <c r="P34" s="120"/>
      <c r="Q34" s="120"/>
      <c r="R34" s="120"/>
      <c r="S34" s="120"/>
      <c r="T34" s="120"/>
      <c r="U34" s="128">
        <f t="shared" si="5"/>
        <v>0</v>
      </c>
      <c r="V34" s="102">
        <f t="shared" si="6"/>
        <v>0</v>
      </c>
      <c r="W34" s="21"/>
      <c r="X34" s="21"/>
      <c r="Y34" s="21"/>
      <c r="Z34" s="21"/>
      <c r="AA34" s="102">
        <f t="shared" si="7"/>
        <v>0</v>
      </c>
      <c r="AB34" s="102">
        <f t="shared" si="8"/>
        <v>0</v>
      </c>
      <c r="AC34" s="102">
        <f t="shared" si="9"/>
        <v>0</v>
      </c>
      <c r="AD34" s="102">
        <f t="shared" si="10"/>
        <v>0</v>
      </c>
      <c r="AE34" s="102">
        <f t="shared" si="1"/>
        <v>0</v>
      </c>
      <c r="AF34" s="129">
        <f t="shared" si="2"/>
        <v>0</v>
      </c>
    </row>
    <row r="35" spans="2:32" x14ac:dyDescent="0.25">
      <c r="B35" s="4" t="s">
        <v>188</v>
      </c>
      <c r="C35" s="70"/>
      <c r="D35" s="70"/>
      <c r="E35" s="70"/>
      <c r="F35" s="102">
        <f t="shared" si="3"/>
        <v>0</v>
      </c>
      <c r="G35" s="120"/>
      <c r="H35" s="120"/>
      <c r="I35" s="120"/>
      <c r="J35" s="120"/>
      <c r="K35" s="120"/>
      <c r="L35" s="120"/>
      <c r="M35" s="128">
        <f t="shared" si="4"/>
        <v>0</v>
      </c>
      <c r="N35" s="102">
        <f t="shared" si="0"/>
        <v>0</v>
      </c>
      <c r="O35" s="120"/>
      <c r="P35" s="120"/>
      <c r="Q35" s="120"/>
      <c r="R35" s="120"/>
      <c r="S35" s="120"/>
      <c r="T35" s="120"/>
      <c r="U35" s="128">
        <f t="shared" si="5"/>
        <v>0</v>
      </c>
      <c r="V35" s="102">
        <f t="shared" si="6"/>
        <v>0</v>
      </c>
      <c r="W35" s="21"/>
      <c r="X35" s="21"/>
      <c r="Y35" s="21"/>
      <c r="Z35" s="21"/>
      <c r="AA35" s="102">
        <f t="shared" si="7"/>
        <v>0</v>
      </c>
      <c r="AB35" s="102">
        <f t="shared" si="8"/>
        <v>0</v>
      </c>
      <c r="AC35" s="102">
        <f t="shared" si="9"/>
        <v>0</v>
      </c>
      <c r="AD35" s="102">
        <f t="shared" si="10"/>
        <v>0</v>
      </c>
      <c r="AE35" s="102">
        <f t="shared" si="1"/>
        <v>0</v>
      </c>
      <c r="AF35" s="129">
        <f t="shared" si="2"/>
        <v>0</v>
      </c>
    </row>
    <row r="36" spans="2:32" x14ac:dyDescent="0.25">
      <c r="B36" s="4" t="s">
        <v>188</v>
      </c>
      <c r="C36" s="70"/>
      <c r="D36" s="70"/>
      <c r="E36" s="70"/>
      <c r="F36" s="102">
        <f t="shared" si="3"/>
        <v>0</v>
      </c>
      <c r="G36" s="120"/>
      <c r="H36" s="120"/>
      <c r="I36" s="120"/>
      <c r="J36" s="120"/>
      <c r="K36" s="120"/>
      <c r="L36" s="120"/>
      <c r="M36" s="128">
        <f t="shared" si="4"/>
        <v>0</v>
      </c>
      <c r="N36" s="102">
        <f t="shared" si="0"/>
        <v>0</v>
      </c>
      <c r="O36" s="120"/>
      <c r="P36" s="120"/>
      <c r="Q36" s="120"/>
      <c r="R36" s="120"/>
      <c r="S36" s="120"/>
      <c r="T36" s="120"/>
      <c r="U36" s="128">
        <f t="shared" si="5"/>
        <v>0</v>
      </c>
      <c r="V36" s="102">
        <f t="shared" si="6"/>
        <v>0</v>
      </c>
      <c r="W36" s="21"/>
      <c r="X36" s="21"/>
      <c r="Y36" s="21"/>
      <c r="Z36" s="21"/>
      <c r="AA36" s="102">
        <f t="shared" si="7"/>
        <v>0</v>
      </c>
      <c r="AB36" s="102">
        <f t="shared" si="8"/>
        <v>0</v>
      </c>
      <c r="AC36" s="102">
        <f t="shared" si="9"/>
        <v>0</v>
      </c>
      <c r="AD36" s="102">
        <f t="shared" si="10"/>
        <v>0</v>
      </c>
      <c r="AE36" s="102">
        <f t="shared" si="1"/>
        <v>0</v>
      </c>
      <c r="AF36" s="129">
        <f t="shared" si="2"/>
        <v>0</v>
      </c>
    </row>
    <row r="37" spans="2:32" x14ac:dyDescent="0.25">
      <c r="B37" s="4" t="s">
        <v>188</v>
      </c>
      <c r="C37" s="70"/>
      <c r="D37" s="70"/>
      <c r="E37" s="70"/>
      <c r="F37" s="102">
        <f t="shared" si="3"/>
        <v>0</v>
      </c>
      <c r="G37" s="120"/>
      <c r="H37" s="120"/>
      <c r="I37" s="120"/>
      <c r="J37" s="120"/>
      <c r="K37" s="120"/>
      <c r="L37" s="120"/>
      <c r="M37" s="128">
        <f t="shared" si="4"/>
        <v>0</v>
      </c>
      <c r="N37" s="102">
        <f t="shared" ref="N37:N68" si="12">M37*$N$2</f>
        <v>0</v>
      </c>
      <c r="O37" s="120"/>
      <c r="P37" s="120"/>
      <c r="Q37" s="120"/>
      <c r="R37" s="120"/>
      <c r="S37" s="120"/>
      <c r="T37" s="120"/>
      <c r="U37" s="128">
        <f t="shared" si="5"/>
        <v>0</v>
      </c>
      <c r="V37" s="102">
        <f t="shared" si="6"/>
        <v>0</v>
      </c>
      <c r="W37" s="21"/>
      <c r="X37" s="21"/>
      <c r="Y37" s="21"/>
      <c r="Z37" s="21"/>
      <c r="AA37" s="102">
        <f t="shared" si="7"/>
        <v>0</v>
      </c>
      <c r="AB37" s="102">
        <f t="shared" si="8"/>
        <v>0</v>
      </c>
      <c r="AC37" s="102">
        <f t="shared" si="9"/>
        <v>0</v>
      </c>
      <c r="AD37" s="102">
        <f t="shared" si="10"/>
        <v>0</v>
      </c>
      <c r="AE37" s="102">
        <f t="shared" ref="AE37:AE68" si="13">SUMIF($4:$4,$N$4,37:37)*$AG$2*SUM(W37:Z37)*0.25</f>
        <v>0</v>
      </c>
      <c r="AF37" s="129">
        <f t="shared" ref="AF37:AF68" si="14">+F37*AE37</f>
        <v>0</v>
      </c>
    </row>
    <row r="38" spans="2:32" x14ac:dyDescent="0.25">
      <c r="B38" s="4" t="s">
        <v>188</v>
      </c>
      <c r="C38" s="70"/>
      <c r="D38" s="70"/>
      <c r="E38" s="70"/>
      <c r="F38" s="102">
        <f t="shared" si="3"/>
        <v>0</v>
      </c>
      <c r="G38" s="120"/>
      <c r="H38" s="120"/>
      <c r="I38" s="120"/>
      <c r="J38" s="120"/>
      <c r="K38" s="120"/>
      <c r="L38" s="120"/>
      <c r="M38" s="128">
        <f t="shared" si="4"/>
        <v>0</v>
      </c>
      <c r="N38" s="102">
        <f t="shared" si="12"/>
        <v>0</v>
      </c>
      <c r="O38" s="120"/>
      <c r="P38" s="120"/>
      <c r="Q38" s="120"/>
      <c r="R38" s="120"/>
      <c r="S38" s="120"/>
      <c r="T38" s="120"/>
      <c r="U38" s="128">
        <f t="shared" si="5"/>
        <v>0</v>
      </c>
      <c r="V38" s="102">
        <f t="shared" si="6"/>
        <v>0</v>
      </c>
      <c r="W38" s="21"/>
      <c r="X38" s="21"/>
      <c r="Y38" s="21"/>
      <c r="Z38" s="21"/>
      <c r="AA38" s="102">
        <f t="shared" si="7"/>
        <v>0</v>
      </c>
      <c r="AB38" s="102">
        <f t="shared" si="8"/>
        <v>0</v>
      </c>
      <c r="AC38" s="102">
        <f t="shared" si="9"/>
        <v>0</v>
      </c>
      <c r="AD38" s="102">
        <f t="shared" si="10"/>
        <v>0</v>
      </c>
      <c r="AE38" s="102">
        <f t="shared" si="13"/>
        <v>0</v>
      </c>
      <c r="AF38" s="129">
        <f t="shared" si="14"/>
        <v>0</v>
      </c>
    </row>
    <row r="39" spans="2:32" x14ac:dyDescent="0.25">
      <c r="B39" s="4" t="s">
        <v>188</v>
      </c>
      <c r="C39" s="70"/>
      <c r="D39" s="70"/>
      <c r="E39" s="70"/>
      <c r="F39" s="102">
        <f t="shared" si="3"/>
        <v>0</v>
      </c>
      <c r="G39" s="120"/>
      <c r="H39" s="120"/>
      <c r="I39" s="120"/>
      <c r="J39" s="120"/>
      <c r="K39" s="120"/>
      <c r="L39" s="120"/>
      <c r="M39" s="128">
        <f t="shared" si="4"/>
        <v>0</v>
      </c>
      <c r="N39" s="102">
        <f t="shared" si="12"/>
        <v>0</v>
      </c>
      <c r="O39" s="120"/>
      <c r="P39" s="120"/>
      <c r="Q39" s="120"/>
      <c r="R39" s="120"/>
      <c r="S39" s="120"/>
      <c r="T39" s="120"/>
      <c r="U39" s="128">
        <f t="shared" si="5"/>
        <v>0</v>
      </c>
      <c r="V39" s="102">
        <f t="shared" si="6"/>
        <v>0</v>
      </c>
      <c r="W39" s="21"/>
      <c r="X39" s="21"/>
      <c r="Y39" s="21"/>
      <c r="Z39" s="21"/>
      <c r="AA39" s="102">
        <f t="shared" si="7"/>
        <v>0</v>
      </c>
      <c r="AB39" s="102">
        <f t="shared" si="8"/>
        <v>0</v>
      </c>
      <c r="AC39" s="102">
        <f t="shared" si="9"/>
        <v>0</v>
      </c>
      <c r="AD39" s="102">
        <f t="shared" si="10"/>
        <v>0</v>
      </c>
      <c r="AE39" s="102">
        <f t="shared" si="13"/>
        <v>0</v>
      </c>
      <c r="AF39" s="129">
        <f t="shared" si="14"/>
        <v>0</v>
      </c>
    </row>
    <row r="40" spans="2:32" x14ac:dyDescent="0.25">
      <c r="B40" s="4" t="s">
        <v>188</v>
      </c>
      <c r="C40" s="70"/>
      <c r="D40" s="70"/>
      <c r="E40" s="70"/>
      <c r="F40" s="102">
        <f t="shared" si="3"/>
        <v>0</v>
      </c>
      <c r="G40" s="120"/>
      <c r="H40" s="120"/>
      <c r="I40" s="120"/>
      <c r="J40" s="120"/>
      <c r="K40" s="120"/>
      <c r="L40" s="120"/>
      <c r="M40" s="128">
        <f t="shared" si="4"/>
        <v>0</v>
      </c>
      <c r="N40" s="102">
        <f t="shared" si="12"/>
        <v>0</v>
      </c>
      <c r="O40" s="120"/>
      <c r="P40" s="120"/>
      <c r="Q40" s="120"/>
      <c r="R40" s="120"/>
      <c r="S40" s="120"/>
      <c r="T40" s="120"/>
      <c r="U40" s="128">
        <f t="shared" si="5"/>
        <v>0</v>
      </c>
      <c r="V40" s="102">
        <f t="shared" si="6"/>
        <v>0</v>
      </c>
      <c r="W40" s="21"/>
      <c r="X40" s="21"/>
      <c r="Y40" s="21"/>
      <c r="Z40" s="21"/>
      <c r="AA40" s="102">
        <f t="shared" si="7"/>
        <v>0</v>
      </c>
      <c r="AB40" s="102">
        <f t="shared" si="8"/>
        <v>0</v>
      </c>
      <c r="AC40" s="102">
        <f t="shared" si="9"/>
        <v>0</v>
      </c>
      <c r="AD40" s="102">
        <f t="shared" si="10"/>
        <v>0</v>
      </c>
      <c r="AE40" s="102">
        <f t="shared" si="13"/>
        <v>0</v>
      </c>
      <c r="AF40" s="129">
        <f t="shared" si="14"/>
        <v>0</v>
      </c>
    </row>
    <row r="41" spans="2:32" x14ac:dyDescent="0.25">
      <c r="B41" s="4" t="s">
        <v>188</v>
      </c>
      <c r="C41" s="70"/>
      <c r="D41" s="70"/>
      <c r="E41" s="70"/>
      <c r="F41" s="102">
        <f t="shared" si="3"/>
        <v>0</v>
      </c>
      <c r="G41" s="120"/>
      <c r="H41" s="120"/>
      <c r="I41" s="120"/>
      <c r="J41" s="120"/>
      <c r="K41" s="120"/>
      <c r="L41" s="120"/>
      <c r="M41" s="128">
        <f t="shared" si="4"/>
        <v>0</v>
      </c>
      <c r="N41" s="102">
        <f t="shared" si="12"/>
        <v>0</v>
      </c>
      <c r="O41" s="120"/>
      <c r="P41" s="120"/>
      <c r="Q41" s="120"/>
      <c r="R41" s="120"/>
      <c r="S41" s="120"/>
      <c r="T41" s="120"/>
      <c r="U41" s="128">
        <f t="shared" si="5"/>
        <v>0</v>
      </c>
      <c r="V41" s="102">
        <f t="shared" si="6"/>
        <v>0</v>
      </c>
      <c r="W41" s="21"/>
      <c r="X41" s="21"/>
      <c r="Y41" s="21"/>
      <c r="Z41" s="21"/>
      <c r="AA41" s="102">
        <f t="shared" si="7"/>
        <v>0</v>
      </c>
      <c r="AB41" s="102">
        <f t="shared" si="8"/>
        <v>0</v>
      </c>
      <c r="AC41" s="102">
        <f t="shared" si="9"/>
        <v>0</v>
      </c>
      <c r="AD41" s="102">
        <f t="shared" si="10"/>
        <v>0</v>
      </c>
      <c r="AE41" s="102">
        <f t="shared" si="13"/>
        <v>0</v>
      </c>
      <c r="AF41" s="129">
        <f t="shared" si="14"/>
        <v>0</v>
      </c>
    </row>
    <row r="42" spans="2:32" x14ac:dyDescent="0.25">
      <c r="B42" s="4" t="s">
        <v>188</v>
      </c>
      <c r="C42" s="70"/>
      <c r="D42" s="70"/>
      <c r="E42" s="70"/>
      <c r="F42" s="102">
        <f t="shared" si="3"/>
        <v>0</v>
      </c>
      <c r="G42" s="120"/>
      <c r="H42" s="120"/>
      <c r="I42" s="120"/>
      <c r="J42" s="120"/>
      <c r="K42" s="120"/>
      <c r="L42" s="120"/>
      <c r="M42" s="128">
        <f t="shared" si="4"/>
        <v>0</v>
      </c>
      <c r="N42" s="102">
        <f t="shared" si="12"/>
        <v>0</v>
      </c>
      <c r="O42" s="120"/>
      <c r="P42" s="120"/>
      <c r="Q42" s="120"/>
      <c r="R42" s="120"/>
      <c r="S42" s="120"/>
      <c r="T42" s="120"/>
      <c r="U42" s="128">
        <f t="shared" si="5"/>
        <v>0</v>
      </c>
      <c r="V42" s="102">
        <f t="shared" si="6"/>
        <v>0</v>
      </c>
      <c r="W42" s="21"/>
      <c r="X42" s="21"/>
      <c r="Y42" s="21"/>
      <c r="Z42" s="21"/>
      <c r="AA42" s="102">
        <f t="shared" si="7"/>
        <v>0</v>
      </c>
      <c r="AB42" s="102">
        <f t="shared" si="8"/>
        <v>0</v>
      </c>
      <c r="AC42" s="102">
        <f t="shared" si="9"/>
        <v>0</v>
      </c>
      <c r="AD42" s="102">
        <f t="shared" si="10"/>
        <v>0</v>
      </c>
      <c r="AE42" s="102">
        <f t="shared" si="13"/>
        <v>0</v>
      </c>
      <c r="AF42" s="129">
        <f t="shared" si="14"/>
        <v>0</v>
      </c>
    </row>
    <row r="43" spans="2:32" x14ac:dyDescent="0.25">
      <c r="B43" s="4" t="s">
        <v>188</v>
      </c>
      <c r="C43" s="70"/>
      <c r="D43" s="70"/>
      <c r="E43" s="70"/>
      <c r="F43" s="102">
        <f t="shared" si="3"/>
        <v>0</v>
      </c>
      <c r="G43" s="120"/>
      <c r="H43" s="120"/>
      <c r="I43" s="120"/>
      <c r="J43" s="120"/>
      <c r="K43" s="120"/>
      <c r="L43" s="120"/>
      <c r="M43" s="128">
        <f t="shared" si="4"/>
        <v>0</v>
      </c>
      <c r="N43" s="102">
        <f t="shared" si="12"/>
        <v>0</v>
      </c>
      <c r="O43" s="120"/>
      <c r="P43" s="120"/>
      <c r="Q43" s="120"/>
      <c r="R43" s="120"/>
      <c r="S43" s="120"/>
      <c r="T43" s="120"/>
      <c r="U43" s="128">
        <f t="shared" si="5"/>
        <v>0</v>
      </c>
      <c r="V43" s="102">
        <f t="shared" si="6"/>
        <v>0</v>
      </c>
      <c r="W43" s="21"/>
      <c r="X43" s="21"/>
      <c r="Y43" s="21"/>
      <c r="Z43" s="21"/>
      <c r="AA43" s="102">
        <f t="shared" si="7"/>
        <v>0</v>
      </c>
      <c r="AB43" s="102">
        <f t="shared" si="8"/>
        <v>0</v>
      </c>
      <c r="AC43" s="102">
        <f t="shared" si="9"/>
        <v>0</v>
      </c>
      <c r="AD43" s="102">
        <f t="shared" si="10"/>
        <v>0</v>
      </c>
      <c r="AE43" s="102">
        <f t="shared" si="13"/>
        <v>0</v>
      </c>
      <c r="AF43" s="129">
        <f t="shared" si="14"/>
        <v>0</v>
      </c>
    </row>
    <row r="44" spans="2:32" x14ac:dyDescent="0.25">
      <c r="B44" s="4" t="s">
        <v>188</v>
      </c>
      <c r="C44" s="70"/>
      <c r="D44" s="70"/>
      <c r="E44" s="70"/>
      <c r="F44" s="102">
        <f t="shared" si="3"/>
        <v>0</v>
      </c>
      <c r="G44" s="120"/>
      <c r="H44" s="120"/>
      <c r="I44" s="120"/>
      <c r="J44" s="120"/>
      <c r="K44" s="120"/>
      <c r="L44" s="120"/>
      <c r="M44" s="128">
        <f t="shared" si="4"/>
        <v>0</v>
      </c>
      <c r="N44" s="102">
        <f t="shared" si="12"/>
        <v>0</v>
      </c>
      <c r="O44" s="120"/>
      <c r="P44" s="120"/>
      <c r="Q44" s="120"/>
      <c r="R44" s="120"/>
      <c r="S44" s="120"/>
      <c r="T44" s="120"/>
      <c r="U44" s="128">
        <f t="shared" si="5"/>
        <v>0</v>
      </c>
      <c r="V44" s="102">
        <f t="shared" si="6"/>
        <v>0</v>
      </c>
      <c r="W44" s="21"/>
      <c r="X44" s="21"/>
      <c r="Y44" s="21"/>
      <c r="Z44" s="21"/>
      <c r="AA44" s="102">
        <f t="shared" si="7"/>
        <v>0</v>
      </c>
      <c r="AB44" s="102">
        <f t="shared" si="8"/>
        <v>0</v>
      </c>
      <c r="AC44" s="102">
        <f t="shared" si="9"/>
        <v>0</v>
      </c>
      <c r="AD44" s="102">
        <f t="shared" si="10"/>
        <v>0</v>
      </c>
      <c r="AE44" s="102">
        <f t="shared" si="13"/>
        <v>0</v>
      </c>
      <c r="AF44" s="129">
        <f t="shared" si="14"/>
        <v>0</v>
      </c>
    </row>
    <row r="45" spans="2:32" x14ac:dyDescent="0.25">
      <c r="B45" s="4" t="s">
        <v>188</v>
      </c>
      <c r="C45" s="70"/>
      <c r="D45" s="70"/>
      <c r="E45" s="70"/>
      <c r="F45" s="102">
        <f t="shared" si="3"/>
        <v>0</v>
      </c>
      <c r="G45" s="120"/>
      <c r="H45" s="120"/>
      <c r="I45" s="120"/>
      <c r="J45" s="120"/>
      <c r="K45" s="120"/>
      <c r="L45" s="120"/>
      <c r="M45" s="128">
        <f t="shared" si="4"/>
        <v>0</v>
      </c>
      <c r="N45" s="102">
        <f t="shared" si="12"/>
        <v>0</v>
      </c>
      <c r="O45" s="120"/>
      <c r="P45" s="120"/>
      <c r="Q45" s="120"/>
      <c r="R45" s="120"/>
      <c r="S45" s="120"/>
      <c r="T45" s="120"/>
      <c r="U45" s="128">
        <f t="shared" si="5"/>
        <v>0</v>
      </c>
      <c r="V45" s="102">
        <f t="shared" si="6"/>
        <v>0</v>
      </c>
      <c r="W45" s="21"/>
      <c r="X45" s="21"/>
      <c r="Y45" s="21"/>
      <c r="Z45" s="21"/>
      <c r="AA45" s="102">
        <f t="shared" si="7"/>
        <v>0</v>
      </c>
      <c r="AB45" s="102">
        <f t="shared" si="8"/>
        <v>0</v>
      </c>
      <c r="AC45" s="102">
        <f t="shared" si="9"/>
        <v>0</v>
      </c>
      <c r="AD45" s="102">
        <f t="shared" si="10"/>
        <v>0</v>
      </c>
      <c r="AE45" s="102">
        <f t="shared" si="13"/>
        <v>0</v>
      </c>
      <c r="AF45" s="129">
        <f t="shared" si="14"/>
        <v>0</v>
      </c>
    </row>
    <row r="46" spans="2:32" x14ac:dyDescent="0.25">
      <c r="B46" s="4" t="s">
        <v>188</v>
      </c>
      <c r="C46" s="70"/>
      <c r="D46" s="70"/>
      <c r="E46" s="70"/>
      <c r="F46" s="102">
        <f t="shared" si="3"/>
        <v>0</v>
      </c>
      <c r="G46" s="120"/>
      <c r="H46" s="120"/>
      <c r="I46" s="120"/>
      <c r="J46" s="120"/>
      <c r="K46" s="120"/>
      <c r="L46" s="120"/>
      <c r="M46" s="128">
        <f t="shared" si="4"/>
        <v>0</v>
      </c>
      <c r="N46" s="102">
        <f t="shared" si="12"/>
        <v>0</v>
      </c>
      <c r="O46" s="120"/>
      <c r="P46" s="120"/>
      <c r="Q46" s="120"/>
      <c r="R46" s="120"/>
      <c r="S46" s="120"/>
      <c r="T46" s="120"/>
      <c r="U46" s="128">
        <f t="shared" si="5"/>
        <v>0</v>
      </c>
      <c r="V46" s="102">
        <f t="shared" si="6"/>
        <v>0</v>
      </c>
      <c r="W46" s="21"/>
      <c r="X46" s="21"/>
      <c r="Y46" s="21"/>
      <c r="Z46" s="21"/>
      <c r="AA46" s="102">
        <f t="shared" si="7"/>
        <v>0</v>
      </c>
      <c r="AB46" s="102">
        <f t="shared" si="8"/>
        <v>0</v>
      </c>
      <c r="AC46" s="102">
        <f t="shared" si="9"/>
        <v>0</v>
      </c>
      <c r="AD46" s="102">
        <f t="shared" si="10"/>
        <v>0</v>
      </c>
      <c r="AE46" s="102">
        <f t="shared" si="13"/>
        <v>0</v>
      </c>
      <c r="AF46" s="129">
        <f t="shared" si="14"/>
        <v>0</v>
      </c>
    </row>
    <row r="47" spans="2:32" x14ac:dyDescent="0.25">
      <c r="B47" s="4" t="s">
        <v>188</v>
      </c>
      <c r="C47" s="70"/>
      <c r="D47" s="70"/>
      <c r="E47" s="70"/>
      <c r="F47" s="102">
        <f t="shared" si="3"/>
        <v>0</v>
      </c>
      <c r="G47" s="120"/>
      <c r="H47" s="120"/>
      <c r="I47" s="120"/>
      <c r="J47" s="120"/>
      <c r="K47" s="120"/>
      <c r="L47" s="120"/>
      <c r="M47" s="128">
        <f t="shared" si="4"/>
        <v>0</v>
      </c>
      <c r="N47" s="102">
        <f t="shared" si="12"/>
        <v>0</v>
      </c>
      <c r="O47" s="120"/>
      <c r="P47" s="120"/>
      <c r="Q47" s="120"/>
      <c r="R47" s="120"/>
      <c r="S47" s="120"/>
      <c r="T47" s="120"/>
      <c r="U47" s="128">
        <f t="shared" si="5"/>
        <v>0</v>
      </c>
      <c r="V47" s="102">
        <f t="shared" si="6"/>
        <v>0</v>
      </c>
      <c r="W47" s="21"/>
      <c r="X47" s="21"/>
      <c r="Y47" s="21"/>
      <c r="Z47" s="21"/>
      <c r="AA47" s="102">
        <f t="shared" si="7"/>
        <v>0</v>
      </c>
      <c r="AB47" s="102">
        <f t="shared" si="8"/>
        <v>0</v>
      </c>
      <c r="AC47" s="102">
        <f t="shared" si="9"/>
        <v>0</v>
      </c>
      <c r="AD47" s="102">
        <f t="shared" si="10"/>
        <v>0</v>
      </c>
      <c r="AE47" s="102">
        <f t="shared" si="13"/>
        <v>0</v>
      </c>
      <c r="AF47" s="129">
        <f t="shared" si="14"/>
        <v>0</v>
      </c>
    </row>
    <row r="48" spans="2:32" x14ac:dyDescent="0.25">
      <c r="B48" s="4" t="s">
        <v>188</v>
      </c>
      <c r="C48" s="70"/>
      <c r="D48" s="70"/>
      <c r="E48" s="70"/>
      <c r="F48" s="102">
        <f t="shared" si="3"/>
        <v>0</v>
      </c>
      <c r="G48" s="120"/>
      <c r="H48" s="120"/>
      <c r="I48" s="120"/>
      <c r="J48" s="120"/>
      <c r="K48" s="120"/>
      <c r="L48" s="120"/>
      <c r="M48" s="128">
        <f t="shared" si="4"/>
        <v>0</v>
      </c>
      <c r="N48" s="102">
        <f t="shared" si="12"/>
        <v>0</v>
      </c>
      <c r="O48" s="120"/>
      <c r="P48" s="120"/>
      <c r="Q48" s="120"/>
      <c r="R48" s="120"/>
      <c r="S48" s="120"/>
      <c r="T48" s="120"/>
      <c r="U48" s="128">
        <f t="shared" si="5"/>
        <v>0</v>
      </c>
      <c r="V48" s="102">
        <f t="shared" si="6"/>
        <v>0</v>
      </c>
      <c r="W48" s="21"/>
      <c r="X48" s="21"/>
      <c r="Y48" s="21"/>
      <c r="Z48" s="21"/>
      <c r="AA48" s="102">
        <f t="shared" si="7"/>
        <v>0</v>
      </c>
      <c r="AB48" s="102">
        <f t="shared" si="8"/>
        <v>0</v>
      </c>
      <c r="AC48" s="102">
        <f t="shared" si="9"/>
        <v>0</v>
      </c>
      <c r="AD48" s="102">
        <f t="shared" si="10"/>
        <v>0</v>
      </c>
      <c r="AE48" s="102">
        <f t="shared" si="13"/>
        <v>0</v>
      </c>
      <c r="AF48" s="129">
        <f t="shared" si="14"/>
        <v>0</v>
      </c>
    </row>
    <row r="49" spans="2:32" x14ac:dyDescent="0.25">
      <c r="B49" s="4" t="s">
        <v>188</v>
      </c>
      <c r="C49" s="70"/>
      <c r="D49" s="70"/>
      <c r="E49" s="70"/>
      <c r="F49" s="102">
        <f t="shared" si="3"/>
        <v>0</v>
      </c>
      <c r="G49" s="120"/>
      <c r="H49" s="120"/>
      <c r="I49" s="120"/>
      <c r="J49" s="120"/>
      <c r="K49" s="120"/>
      <c r="L49" s="120"/>
      <c r="M49" s="128">
        <f t="shared" si="4"/>
        <v>0</v>
      </c>
      <c r="N49" s="102">
        <f t="shared" si="12"/>
        <v>0</v>
      </c>
      <c r="O49" s="120"/>
      <c r="P49" s="120"/>
      <c r="Q49" s="120"/>
      <c r="R49" s="120"/>
      <c r="S49" s="120"/>
      <c r="T49" s="120"/>
      <c r="U49" s="128">
        <f t="shared" si="5"/>
        <v>0</v>
      </c>
      <c r="V49" s="102">
        <f t="shared" si="6"/>
        <v>0</v>
      </c>
      <c r="W49" s="21"/>
      <c r="X49" s="21"/>
      <c r="Y49" s="21"/>
      <c r="Z49" s="21"/>
      <c r="AA49" s="102">
        <f t="shared" si="7"/>
        <v>0</v>
      </c>
      <c r="AB49" s="102">
        <f t="shared" si="8"/>
        <v>0</v>
      </c>
      <c r="AC49" s="102">
        <f t="shared" si="9"/>
        <v>0</v>
      </c>
      <c r="AD49" s="102">
        <f t="shared" si="10"/>
        <v>0</v>
      </c>
      <c r="AE49" s="102">
        <f t="shared" si="13"/>
        <v>0</v>
      </c>
      <c r="AF49" s="129">
        <f t="shared" si="14"/>
        <v>0</v>
      </c>
    </row>
    <row r="50" spans="2:32" x14ac:dyDescent="0.25">
      <c r="B50" s="4" t="s">
        <v>188</v>
      </c>
      <c r="C50" s="70"/>
      <c r="D50" s="70"/>
      <c r="E50" s="70"/>
      <c r="F50" s="102">
        <f t="shared" si="3"/>
        <v>0</v>
      </c>
      <c r="G50" s="120"/>
      <c r="H50" s="120"/>
      <c r="I50" s="120"/>
      <c r="J50" s="120"/>
      <c r="K50" s="120"/>
      <c r="L50" s="120"/>
      <c r="M50" s="128">
        <f t="shared" si="4"/>
        <v>0</v>
      </c>
      <c r="N50" s="102">
        <f t="shared" si="12"/>
        <v>0</v>
      </c>
      <c r="O50" s="120"/>
      <c r="P50" s="120"/>
      <c r="Q50" s="120"/>
      <c r="R50" s="120"/>
      <c r="S50" s="120"/>
      <c r="T50" s="120"/>
      <c r="U50" s="128">
        <f t="shared" si="5"/>
        <v>0</v>
      </c>
      <c r="V50" s="102">
        <f t="shared" si="6"/>
        <v>0</v>
      </c>
      <c r="W50" s="21"/>
      <c r="X50" s="21"/>
      <c r="Y50" s="21"/>
      <c r="Z50" s="21"/>
      <c r="AA50" s="102">
        <f t="shared" si="7"/>
        <v>0</v>
      </c>
      <c r="AB50" s="102">
        <f t="shared" si="8"/>
        <v>0</v>
      </c>
      <c r="AC50" s="102">
        <f t="shared" si="9"/>
        <v>0</v>
      </c>
      <c r="AD50" s="102">
        <f t="shared" si="10"/>
        <v>0</v>
      </c>
      <c r="AE50" s="102">
        <f t="shared" si="13"/>
        <v>0</v>
      </c>
      <c r="AF50" s="129">
        <f t="shared" si="14"/>
        <v>0</v>
      </c>
    </row>
    <row r="51" spans="2:32" x14ac:dyDescent="0.25">
      <c r="B51" s="4" t="s">
        <v>188</v>
      </c>
      <c r="C51" s="70"/>
      <c r="D51" s="70"/>
      <c r="E51" s="70"/>
      <c r="F51" s="102">
        <f t="shared" si="3"/>
        <v>0</v>
      </c>
      <c r="G51" s="120"/>
      <c r="H51" s="120"/>
      <c r="I51" s="120"/>
      <c r="J51" s="120"/>
      <c r="K51" s="120"/>
      <c r="L51" s="120"/>
      <c r="M51" s="128">
        <f t="shared" si="4"/>
        <v>0</v>
      </c>
      <c r="N51" s="102">
        <f t="shared" si="12"/>
        <v>0</v>
      </c>
      <c r="O51" s="120"/>
      <c r="P51" s="120"/>
      <c r="Q51" s="120"/>
      <c r="R51" s="120"/>
      <c r="S51" s="120"/>
      <c r="T51" s="120"/>
      <c r="U51" s="128">
        <f t="shared" si="5"/>
        <v>0</v>
      </c>
      <c r="V51" s="102">
        <f t="shared" si="6"/>
        <v>0</v>
      </c>
      <c r="W51" s="21"/>
      <c r="X51" s="21"/>
      <c r="Y51" s="21"/>
      <c r="Z51" s="21"/>
      <c r="AA51" s="102">
        <f t="shared" si="7"/>
        <v>0</v>
      </c>
      <c r="AB51" s="102">
        <f t="shared" si="8"/>
        <v>0</v>
      </c>
      <c r="AC51" s="102">
        <f t="shared" si="9"/>
        <v>0</v>
      </c>
      <c r="AD51" s="102">
        <f t="shared" si="10"/>
        <v>0</v>
      </c>
      <c r="AE51" s="102">
        <f t="shared" si="13"/>
        <v>0</v>
      </c>
      <c r="AF51" s="129">
        <f t="shared" si="14"/>
        <v>0</v>
      </c>
    </row>
    <row r="52" spans="2:32" x14ac:dyDescent="0.25">
      <c r="B52" s="4" t="s">
        <v>188</v>
      </c>
      <c r="C52" s="70"/>
      <c r="D52" s="70"/>
      <c r="E52" s="70"/>
      <c r="F52" s="102">
        <f t="shared" si="3"/>
        <v>0</v>
      </c>
      <c r="G52" s="120"/>
      <c r="H52" s="120"/>
      <c r="I52" s="120"/>
      <c r="J52" s="120"/>
      <c r="K52" s="120"/>
      <c r="L52" s="120"/>
      <c r="M52" s="128">
        <f t="shared" si="4"/>
        <v>0</v>
      </c>
      <c r="N52" s="102">
        <f t="shared" si="12"/>
        <v>0</v>
      </c>
      <c r="O52" s="120"/>
      <c r="P52" s="120"/>
      <c r="Q52" s="120"/>
      <c r="R52" s="120"/>
      <c r="S52" s="120"/>
      <c r="T52" s="120"/>
      <c r="U52" s="128">
        <f t="shared" si="5"/>
        <v>0</v>
      </c>
      <c r="V52" s="102">
        <f t="shared" si="6"/>
        <v>0</v>
      </c>
      <c r="W52" s="21"/>
      <c r="X52" s="21"/>
      <c r="Y52" s="21"/>
      <c r="Z52" s="21"/>
      <c r="AA52" s="102">
        <f t="shared" si="7"/>
        <v>0</v>
      </c>
      <c r="AB52" s="102">
        <f t="shared" si="8"/>
        <v>0</v>
      </c>
      <c r="AC52" s="102">
        <f t="shared" si="9"/>
        <v>0</v>
      </c>
      <c r="AD52" s="102">
        <f t="shared" si="10"/>
        <v>0</v>
      </c>
      <c r="AE52" s="102">
        <f t="shared" si="13"/>
        <v>0</v>
      </c>
      <c r="AF52" s="129">
        <f t="shared" si="14"/>
        <v>0</v>
      </c>
    </row>
    <row r="53" spans="2:32" x14ac:dyDescent="0.25">
      <c r="B53" s="4" t="s">
        <v>188</v>
      </c>
      <c r="C53" s="70"/>
      <c r="D53" s="70"/>
      <c r="E53" s="70"/>
      <c r="F53" s="102">
        <f t="shared" si="3"/>
        <v>0</v>
      </c>
      <c r="G53" s="120"/>
      <c r="H53" s="120"/>
      <c r="I53" s="120"/>
      <c r="J53" s="120"/>
      <c r="K53" s="120"/>
      <c r="L53" s="120"/>
      <c r="M53" s="128">
        <f t="shared" si="4"/>
        <v>0</v>
      </c>
      <c r="N53" s="102">
        <f t="shared" si="12"/>
        <v>0</v>
      </c>
      <c r="O53" s="120"/>
      <c r="P53" s="120"/>
      <c r="Q53" s="120"/>
      <c r="R53" s="120"/>
      <c r="S53" s="120"/>
      <c r="T53" s="120"/>
      <c r="U53" s="128">
        <f t="shared" si="5"/>
        <v>0</v>
      </c>
      <c r="V53" s="102">
        <f t="shared" si="6"/>
        <v>0</v>
      </c>
      <c r="W53" s="21"/>
      <c r="X53" s="21"/>
      <c r="Y53" s="21"/>
      <c r="Z53" s="21"/>
      <c r="AA53" s="102">
        <f t="shared" si="7"/>
        <v>0</v>
      </c>
      <c r="AB53" s="102">
        <f t="shared" si="8"/>
        <v>0</v>
      </c>
      <c r="AC53" s="102">
        <f t="shared" si="9"/>
        <v>0</v>
      </c>
      <c r="AD53" s="102">
        <f t="shared" si="10"/>
        <v>0</v>
      </c>
      <c r="AE53" s="102">
        <f t="shared" si="13"/>
        <v>0</v>
      </c>
      <c r="AF53" s="129">
        <f t="shared" si="14"/>
        <v>0</v>
      </c>
    </row>
    <row r="54" spans="2:32" x14ac:dyDescent="0.25">
      <c r="B54" s="4" t="s">
        <v>188</v>
      </c>
      <c r="C54" s="70"/>
      <c r="D54" s="70"/>
      <c r="E54" s="70"/>
      <c r="F54" s="102">
        <f t="shared" si="3"/>
        <v>0</v>
      </c>
      <c r="G54" s="120"/>
      <c r="H54" s="120"/>
      <c r="I54" s="120"/>
      <c r="J54" s="120"/>
      <c r="K54" s="120"/>
      <c r="L54" s="120"/>
      <c r="M54" s="128">
        <f t="shared" si="4"/>
        <v>0</v>
      </c>
      <c r="N54" s="102">
        <f t="shared" si="12"/>
        <v>0</v>
      </c>
      <c r="O54" s="120"/>
      <c r="P54" s="120"/>
      <c r="Q54" s="120"/>
      <c r="R54" s="120"/>
      <c r="S54" s="120"/>
      <c r="T54" s="120"/>
      <c r="U54" s="128">
        <f t="shared" si="5"/>
        <v>0</v>
      </c>
      <c r="V54" s="102">
        <f t="shared" si="6"/>
        <v>0</v>
      </c>
      <c r="W54" s="21"/>
      <c r="X54" s="21"/>
      <c r="Y54" s="21"/>
      <c r="Z54" s="21"/>
      <c r="AA54" s="102">
        <f t="shared" si="7"/>
        <v>0</v>
      </c>
      <c r="AB54" s="102">
        <f t="shared" si="8"/>
        <v>0</v>
      </c>
      <c r="AC54" s="102">
        <f t="shared" si="9"/>
        <v>0</v>
      </c>
      <c r="AD54" s="102">
        <f t="shared" si="10"/>
        <v>0</v>
      </c>
      <c r="AE54" s="102">
        <f t="shared" si="13"/>
        <v>0</v>
      </c>
      <c r="AF54" s="129">
        <f t="shared" si="14"/>
        <v>0</v>
      </c>
    </row>
    <row r="55" spans="2:32" x14ac:dyDescent="0.25">
      <c r="B55" s="4" t="s">
        <v>188</v>
      </c>
      <c r="C55" s="70"/>
      <c r="D55" s="70"/>
      <c r="E55" s="70"/>
      <c r="F55" s="102">
        <f t="shared" si="3"/>
        <v>0</v>
      </c>
      <c r="G55" s="120"/>
      <c r="H55" s="120"/>
      <c r="I55" s="120"/>
      <c r="J55" s="120"/>
      <c r="K55" s="120"/>
      <c r="L55" s="120"/>
      <c r="M55" s="128">
        <f t="shared" si="4"/>
        <v>0</v>
      </c>
      <c r="N55" s="102">
        <f t="shared" si="12"/>
        <v>0</v>
      </c>
      <c r="O55" s="120"/>
      <c r="P55" s="120"/>
      <c r="Q55" s="120"/>
      <c r="R55" s="120"/>
      <c r="S55" s="120"/>
      <c r="T55" s="120"/>
      <c r="U55" s="128">
        <f t="shared" si="5"/>
        <v>0</v>
      </c>
      <c r="V55" s="102">
        <f t="shared" si="6"/>
        <v>0</v>
      </c>
      <c r="W55" s="21"/>
      <c r="X55" s="21"/>
      <c r="Y55" s="21"/>
      <c r="Z55" s="21"/>
      <c r="AA55" s="102">
        <f t="shared" si="7"/>
        <v>0</v>
      </c>
      <c r="AB55" s="102">
        <f t="shared" si="8"/>
        <v>0</v>
      </c>
      <c r="AC55" s="102">
        <f t="shared" si="9"/>
        <v>0</v>
      </c>
      <c r="AD55" s="102">
        <f t="shared" si="10"/>
        <v>0</v>
      </c>
      <c r="AE55" s="102">
        <f t="shared" si="13"/>
        <v>0</v>
      </c>
      <c r="AF55" s="129">
        <f t="shared" si="14"/>
        <v>0</v>
      </c>
    </row>
    <row r="56" spans="2:32" x14ac:dyDescent="0.25">
      <c r="B56" s="4" t="s">
        <v>188</v>
      </c>
      <c r="C56" s="70"/>
      <c r="D56" s="70"/>
      <c r="E56" s="70"/>
      <c r="F56" s="102">
        <f t="shared" si="3"/>
        <v>0</v>
      </c>
      <c r="G56" s="120"/>
      <c r="H56" s="120"/>
      <c r="I56" s="120"/>
      <c r="J56" s="120"/>
      <c r="K56" s="120"/>
      <c r="L56" s="120"/>
      <c r="M56" s="128">
        <f t="shared" si="4"/>
        <v>0</v>
      </c>
      <c r="N56" s="102">
        <f t="shared" si="12"/>
        <v>0</v>
      </c>
      <c r="O56" s="120"/>
      <c r="P56" s="120"/>
      <c r="Q56" s="120"/>
      <c r="R56" s="120"/>
      <c r="S56" s="120"/>
      <c r="T56" s="120"/>
      <c r="U56" s="128">
        <f t="shared" si="5"/>
        <v>0</v>
      </c>
      <c r="V56" s="102">
        <f t="shared" si="6"/>
        <v>0</v>
      </c>
      <c r="W56" s="21"/>
      <c r="X56" s="21"/>
      <c r="Y56" s="21"/>
      <c r="Z56" s="21"/>
      <c r="AA56" s="102">
        <f t="shared" si="7"/>
        <v>0</v>
      </c>
      <c r="AB56" s="102">
        <f t="shared" si="8"/>
        <v>0</v>
      </c>
      <c r="AC56" s="102">
        <f t="shared" si="9"/>
        <v>0</v>
      </c>
      <c r="AD56" s="102">
        <f t="shared" si="10"/>
        <v>0</v>
      </c>
      <c r="AE56" s="102">
        <f t="shared" si="13"/>
        <v>0</v>
      </c>
      <c r="AF56" s="129">
        <f t="shared" si="14"/>
        <v>0</v>
      </c>
    </row>
    <row r="57" spans="2:32" x14ac:dyDescent="0.25">
      <c r="B57" s="4" t="s">
        <v>188</v>
      </c>
      <c r="C57" s="70"/>
      <c r="D57" s="70"/>
      <c r="E57" s="70"/>
      <c r="F57" s="102">
        <f t="shared" si="3"/>
        <v>0</v>
      </c>
      <c r="G57" s="120"/>
      <c r="H57" s="120"/>
      <c r="I57" s="120"/>
      <c r="J57" s="120"/>
      <c r="K57" s="120"/>
      <c r="L57" s="120"/>
      <c r="M57" s="128">
        <f t="shared" si="4"/>
        <v>0</v>
      </c>
      <c r="N57" s="102">
        <f t="shared" si="12"/>
        <v>0</v>
      </c>
      <c r="O57" s="120"/>
      <c r="P57" s="120"/>
      <c r="Q57" s="120"/>
      <c r="R57" s="120"/>
      <c r="S57" s="120"/>
      <c r="T57" s="120"/>
      <c r="U57" s="128">
        <f t="shared" si="5"/>
        <v>0</v>
      </c>
      <c r="V57" s="102">
        <f t="shared" si="6"/>
        <v>0</v>
      </c>
      <c r="W57" s="21"/>
      <c r="X57" s="21"/>
      <c r="Y57" s="21"/>
      <c r="Z57" s="21"/>
      <c r="AA57" s="102">
        <f t="shared" si="7"/>
        <v>0</v>
      </c>
      <c r="AB57" s="102">
        <f t="shared" si="8"/>
        <v>0</v>
      </c>
      <c r="AC57" s="102">
        <f t="shared" si="9"/>
        <v>0</v>
      </c>
      <c r="AD57" s="102">
        <f t="shared" si="10"/>
        <v>0</v>
      </c>
      <c r="AE57" s="102">
        <f t="shared" si="13"/>
        <v>0</v>
      </c>
      <c r="AF57" s="129">
        <f t="shared" si="14"/>
        <v>0</v>
      </c>
    </row>
    <row r="58" spans="2:32" x14ac:dyDescent="0.25">
      <c r="B58" s="4" t="s">
        <v>188</v>
      </c>
      <c r="C58" s="70"/>
      <c r="D58" s="70"/>
      <c r="E58" s="70"/>
      <c r="F58" s="102">
        <f t="shared" si="3"/>
        <v>0</v>
      </c>
      <c r="G58" s="120"/>
      <c r="H58" s="120"/>
      <c r="I58" s="120"/>
      <c r="J58" s="120"/>
      <c r="K58" s="120"/>
      <c r="L58" s="120"/>
      <c r="M58" s="128">
        <f t="shared" si="4"/>
        <v>0</v>
      </c>
      <c r="N58" s="102">
        <f t="shared" si="12"/>
        <v>0</v>
      </c>
      <c r="O58" s="120"/>
      <c r="P58" s="120"/>
      <c r="Q58" s="120"/>
      <c r="R58" s="120"/>
      <c r="S58" s="120"/>
      <c r="T58" s="120"/>
      <c r="U58" s="128">
        <f t="shared" si="5"/>
        <v>0</v>
      </c>
      <c r="V58" s="102">
        <f t="shared" si="6"/>
        <v>0</v>
      </c>
      <c r="W58" s="21"/>
      <c r="X58" s="21"/>
      <c r="Y58" s="21"/>
      <c r="Z58" s="21"/>
      <c r="AA58" s="102">
        <f t="shared" si="7"/>
        <v>0</v>
      </c>
      <c r="AB58" s="102">
        <f t="shared" si="8"/>
        <v>0</v>
      </c>
      <c r="AC58" s="102">
        <f t="shared" si="9"/>
        <v>0</v>
      </c>
      <c r="AD58" s="102">
        <f t="shared" si="10"/>
        <v>0</v>
      </c>
      <c r="AE58" s="102">
        <f t="shared" si="13"/>
        <v>0</v>
      </c>
      <c r="AF58" s="129">
        <f t="shared" si="14"/>
        <v>0</v>
      </c>
    </row>
    <row r="59" spans="2:32" x14ac:dyDescent="0.25">
      <c r="B59" s="4" t="s">
        <v>188</v>
      </c>
      <c r="C59" s="70"/>
      <c r="D59" s="70"/>
      <c r="E59" s="70"/>
      <c r="F59" s="102">
        <f t="shared" si="3"/>
        <v>0</v>
      </c>
      <c r="G59" s="120"/>
      <c r="H59" s="120"/>
      <c r="I59" s="120"/>
      <c r="J59" s="120"/>
      <c r="K59" s="120"/>
      <c r="L59" s="120"/>
      <c r="M59" s="128">
        <f t="shared" si="4"/>
        <v>0</v>
      </c>
      <c r="N59" s="102">
        <f t="shared" si="12"/>
        <v>0</v>
      </c>
      <c r="O59" s="120"/>
      <c r="P59" s="120"/>
      <c r="Q59" s="120"/>
      <c r="R59" s="120"/>
      <c r="S59" s="120"/>
      <c r="T59" s="120"/>
      <c r="U59" s="128">
        <f t="shared" si="5"/>
        <v>0</v>
      </c>
      <c r="V59" s="102">
        <f t="shared" si="6"/>
        <v>0</v>
      </c>
      <c r="W59" s="21"/>
      <c r="X59" s="21"/>
      <c r="Y59" s="21"/>
      <c r="Z59" s="21"/>
      <c r="AA59" s="102">
        <f t="shared" si="7"/>
        <v>0</v>
      </c>
      <c r="AB59" s="102">
        <f t="shared" si="8"/>
        <v>0</v>
      </c>
      <c r="AC59" s="102">
        <f t="shared" si="9"/>
        <v>0</v>
      </c>
      <c r="AD59" s="102">
        <f t="shared" si="10"/>
        <v>0</v>
      </c>
      <c r="AE59" s="102">
        <f t="shared" si="13"/>
        <v>0</v>
      </c>
      <c r="AF59" s="129">
        <f t="shared" si="14"/>
        <v>0</v>
      </c>
    </row>
    <row r="60" spans="2:32" x14ac:dyDescent="0.25">
      <c r="B60" s="4" t="s">
        <v>188</v>
      </c>
      <c r="C60" s="70"/>
      <c r="D60" s="70"/>
      <c r="E60" s="70"/>
      <c r="F60" s="102">
        <f t="shared" si="3"/>
        <v>0</v>
      </c>
      <c r="G60" s="120"/>
      <c r="H60" s="120"/>
      <c r="I60" s="120"/>
      <c r="J60" s="120"/>
      <c r="K60" s="120"/>
      <c r="L60" s="120"/>
      <c r="M60" s="128">
        <f t="shared" si="4"/>
        <v>0</v>
      </c>
      <c r="N60" s="102">
        <f t="shared" si="12"/>
        <v>0</v>
      </c>
      <c r="O60" s="120"/>
      <c r="P60" s="120"/>
      <c r="Q60" s="120"/>
      <c r="R60" s="120"/>
      <c r="S60" s="120"/>
      <c r="T60" s="120"/>
      <c r="U60" s="128">
        <f t="shared" si="5"/>
        <v>0</v>
      </c>
      <c r="V60" s="102">
        <f t="shared" si="6"/>
        <v>0</v>
      </c>
      <c r="W60" s="21"/>
      <c r="X60" s="21"/>
      <c r="Y60" s="21"/>
      <c r="Z60" s="21"/>
      <c r="AA60" s="102">
        <f t="shared" si="7"/>
        <v>0</v>
      </c>
      <c r="AB60" s="102">
        <f t="shared" si="8"/>
        <v>0</v>
      </c>
      <c r="AC60" s="102">
        <f t="shared" si="9"/>
        <v>0</v>
      </c>
      <c r="AD60" s="102">
        <f t="shared" si="10"/>
        <v>0</v>
      </c>
      <c r="AE60" s="102">
        <f t="shared" si="13"/>
        <v>0</v>
      </c>
      <c r="AF60" s="129">
        <f t="shared" si="14"/>
        <v>0</v>
      </c>
    </row>
    <row r="61" spans="2:32" x14ac:dyDescent="0.25">
      <c r="B61" s="4" t="s">
        <v>188</v>
      </c>
      <c r="C61" s="70"/>
      <c r="D61" s="70"/>
      <c r="E61" s="70"/>
      <c r="F61" s="102">
        <f t="shared" si="3"/>
        <v>0</v>
      </c>
      <c r="G61" s="120"/>
      <c r="H61" s="120"/>
      <c r="I61" s="120"/>
      <c r="J61" s="120"/>
      <c r="K61" s="120"/>
      <c r="L61" s="120"/>
      <c r="M61" s="128">
        <f t="shared" si="4"/>
        <v>0</v>
      </c>
      <c r="N61" s="102">
        <f t="shared" si="12"/>
        <v>0</v>
      </c>
      <c r="O61" s="120"/>
      <c r="P61" s="120"/>
      <c r="Q61" s="120"/>
      <c r="R61" s="120"/>
      <c r="S61" s="120"/>
      <c r="T61" s="120"/>
      <c r="U61" s="128">
        <f t="shared" si="5"/>
        <v>0</v>
      </c>
      <c r="V61" s="102">
        <f t="shared" si="6"/>
        <v>0</v>
      </c>
      <c r="W61" s="21"/>
      <c r="X61" s="21"/>
      <c r="Y61" s="21"/>
      <c r="Z61" s="21"/>
      <c r="AA61" s="102">
        <f t="shared" si="7"/>
        <v>0</v>
      </c>
      <c r="AB61" s="102">
        <f t="shared" si="8"/>
        <v>0</v>
      </c>
      <c r="AC61" s="102">
        <f t="shared" si="9"/>
        <v>0</v>
      </c>
      <c r="AD61" s="102">
        <f t="shared" si="10"/>
        <v>0</v>
      </c>
      <c r="AE61" s="102">
        <f t="shared" si="13"/>
        <v>0</v>
      </c>
      <c r="AF61" s="129">
        <f t="shared" si="14"/>
        <v>0</v>
      </c>
    </row>
    <row r="62" spans="2:32" x14ac:dyDescent="0.25">
      <c r="B62" s="4" t="s">
        <v>188</v>
      </c>
      <c r="C62" s="70"/>
      <c r="D62" s="70"/>
      <c r="E62" s="70"/>
      <c r="F62" s="102">
        <f t="shared" si="3"/>
        <v>0</v>
      </c>
      <c r="G62" s="120"/>
      <c r="H62" s="120"/>
      <c r="I62" s="120"/>
      <c r="J62" s="120"/>
      <c r="K62" s="120"/>
      <c r="L62" s="120"/>
      <c r="M62" s="128">
        <f t="shared" si="4"/>
        <v>0</v>
      </c>
      <c r="N62" s="102">
        <f t="shared" si="12"/>
        <v>0</v>
      </c>
      <c r="O62" s="120"/>
      <c r="P62" s="120"/>
      <c r="Q62" s="120"/>
      <c r="R62" s="120"/>
      <c r="S62" s="120"/>
      <c r="T62" s="120"/>
      <c r="U62" s="128">
        <f t="shared" si="5"/>
        <v>0</v>
      </c>
      <c r="V62" s="102">
        <f t="shared" si="6"/>
        <v>0</v>
      </c>
      <c r="W62" s="21"/>
      <c r="X62" s="21"/>
      <c r="Y62" s="21"/>
      <c r="Z62" s="21"/>
      <c r="AA62" s="102">
        <f t="shared" si="7"/>
        <v>0</v>
      </c>
      <c r="AB62" s="102">
        <f t="shared" si="8"/>
        <v>0</v>
      </c>
      <c r="AC62" s="102">
        <f t="shared" si="9"/>
        <v>0</v>
      </c>
      <c r="AD62" s="102">
        <f t="shared" si="10"/>
        <v>0</v>
      </c>
      <c r="AE62" s="102">
        <f t="shared" si="13"/>
        <v>0</v>
      </c>
      <c r="AF62" s="129">
        <f t="shared" si="14"/>
        <v>0</v>
      </c>
    </row>
    <row r="63" spans="2:32" x14ac:dyDescent="0.25">
      <c r="B63" s="4" t="s">
        <v>188</v>
      </c>
      <c r="C63" s="70"/>
      <c r="D63" s="70"/>
      <c r="E63" s="70"/>
      <c r="F63" s="102">
        <f t="shared" si="3"/>
        <v>0</v>
      </c>
      <c r="G63" s="120"/>
      <c r="H63" s="120"/>
      <c r="I63" s="120"/>
      <c r="J63" s="120"/>
      <c r="K63" s="120"/>
      <c r="L63" s="120"/>
      <c r="M63" s="128">
        <f t="shared" si="4"/>
        <v>0</v>
      </c>
      <c r="N63" s="102">
        <f t="shared" si="12"/>
        <v>0</v>
      </c>
      <c r="O63" s="120"/>
      <c r="P63" s="120"/>
      <c r="Q63" s="120"/>
      <c r="R63" s="120"/>
      <c r="S63" s="120"/>
      <c r="T63" s="120"/>
      <c r="U63" s="128">
        <f t="shared" si="5"/>
        <v>0</v>
      </c>
      <c r="V63" s="102">
        <f t="shared" si="6"/>
        <v>0</v>
      </c>
      <c r="W63" s="21"/>
      <c r="X63" s="21"/>
      <c r="Y63" s="21"/>
      <c r="Z63" s="21"/>
      <c r="AA63" s="102">
        <f t="shared" si="7"/>
        <v>0</v>
      </c>
      <c r="AB63" s="102">
        <f t="shared" si="8"/>
        <v>0</v>
      </c>
      <c r="AC63" s="102">
        <f t="shared" si="9"/>
        <v>0</v>
      </c>
      <c r="AD63" s="102">
        <f t="shared" si="10"/>
        <v>0</v>
      </c>
      <c r="AE63" s="102">
        <f t="shared" si="13"/>
        <v>0</v>
      </c>
      <c r="AF63" s="129">
        <f t="shared" si="14"/>
        <v>0</v>
      </c>
    </row>
    <row r="64" spans="2:32" x14ac:dyDescent="0.25">
      <c r="B64" s="4" t="s">
        <v>188</v>
      </c>
      <c r="C64" s="70"/>
      <c r="D64" s="70"/>
      <c r="E64" s="70"/>
      <c r="F64" s="102">
        <f t="shared" si="3"/>
        <v>0</v>
      </c>
      <c r="G64" s="120"/>
      <c r="H64" s="120"/>
      <c r="I64" s="120"/>
      <c r="J64" s="120"/>
      <c r="K64" s="120"/>
      <c r="L64" s="120"/>
      <c r="M64" s="128">
        <f t="shared" si="4"/>
        <v>0</v>
      </c>
      <c r="N64" s="102">
        <f t="shared" si="12"/>
        <v>0</v>
      </c>
      <c r="O64" s="120"/>
      <c r="P64" s="120"/>
      <c r="Q64" s="120"/>
      <c r="R64" s="120"/>
      <c r="S64" s="120"/>
      <c r="T64" s="120"/>
      <c r="U64" s="128">
        <f t="shared" si="5"/>
        <v>0</v>
      </c>
      <c r="V64" s="102">
        <f t="shared" si="6"/>
        <v>0</v>
      </c>
      <c r="W64" s="21"/>
      <c r="X64" s="21"/>
      <c r="Y64" s="21"/>
      <c r="Z64" s="21"/>
      <c r="AA64" s="102">
        <f t="shared" si="7"/>
        <v>0</v>
      </c>
      <c r="AB64" s="102">
        <f t="shared" si="8"/>
        <v>0</v>
      </c>
      <c r="AC64" s="102">
        <f t="shared" si="9"/>
        <v>0</v>
      </c>
      <c r="AD64" s="102">
        <f t="shared" si="10"/>
        <v>0</v>
      </c>
      <c r="AE64" s="102">
        <f t="shared" si="13"/>
        <v>0</v>
      </c>
      <c r="AF64" s="129">
        <f t="shared" si="14"/>
        <v>0</v>
      </c>
    </row>
    <row r="65" spans="2:32" x14ac:dyDescent="0.25">
      <c r="B65" s="4" t="s">
        <v>188</v>
      </c>
      <c r="C65" s="70"/>
      <c r="D65" s="70"/>
      <c r="E65" s="70"/>
      <c r="F65" s="102">
        <f t="shared" si="3"/>
        <v>0</v>
      </c>
      <c r="G65" s="120"/>
      <c r="H65" s="120"/>
      <c r="I65" s="120"/>
      <c r="J65" s="120"/>
      <c r="K65" s="120"/>
      <c r="L65" s="120"/>
      <c r="M65" s="128">
        <f t="shared" si="4"/>
        <v>0</v>
      </c>
      <c r="N65" s="102">
        <f t="shared" si="12"/>
        <v>0</v>
      </c>
      <c r="O65" s="120"/>
      <c r="P65" s="120"/>
      <c r="Q65" s="120"/>
      <c r="R65" s="120"/>
      <c r="S65" s="120"/>
      <c r="T65" s="120"/>
      <c r="U65" s="128">
        <f t="shared" si="5"/>
        <v>0</v>
      </c>
      <c r="V65" s="102">
        <f t="shared" si="6"/>
        <v>0</v>
      </c>
      <c r="W65" s="21"/>
      <c r="X65" s="21"/>
      <c r="Y65" s="21"/>
      <c r="Z65" s="21"/>
      <c r="AA65" s="102">
        <f t="shared" si="7"/>
        <v>0</v>
      </c>
      <c r="AB65" s="102">
        <f t="shared" si="8"/>
        <v>0</v>
      </c>
      <c r="AC65" s="102">
        <f t="shared" si="9"/>
        <v>0</v>
      </c>
      <c r="AD65" s="102">
        <f t="shared" si="10"/>
        <v>0</v>
      </c>
      <c r="AE65" s="102">
        <f t="shared" si="13"/>
        <v>0</v>
      </c>
      <c r="AF65" s="129">
        <f t="shared" si="14"/>
        <v>0</v>
      </c>
    </row>
    <row r="66" spans="2:32" x14ac:dyDescent="0.25">
      <c r="B66" s="4" t="s">
        <v>188</v>
      </c>
      <c r="C66" s="70"/>
      <c r="D66" s="70"/>
      <c r="E66" s="70"/>
      <c r="F66" s="102">
        <f t="shared" si="3"/>
        <v>0</v>
      </c>
      <c r="G66" s="120"/>
      <c r="H66" s="120"/>
      <c r="I66" s="120"/>
      <c r="J66" s="120"/>
      <c r="K66" s="120"/>
      <c r="L66" s="120"/>
      <c r="M66" s="128">
        <f t="shared" si="4"/>
        <v>0</v>
      </c>
      <c r="N66" s="102">
        <f t="shared" si="12"/>
        <v>0</v>
      </c>
      <c r="O66" s="120"/>
      <c r="P66" s="120"/>
      <c r="Q66" s="120"/>
      <c r="R66" s="120"/>
      <c r="S66" s="120"/>
      <c r="T66" s="120"/>
      <c r="U66" s="128">
        <f t="shared" si="5"/>
        <v>0</v>
      </c>
      <c r="V66" s="102">
        <f t="shared" si="6"/>
        <v>0</v>
      </c>
      <c r="W66" s="21"/>
      <c r="X66" s="21"/>
      <c r="Y66" s="21"/>
      <c r="Z66" s="21"/>
      <c r="AA66" s="102">
        <f t="shared" si="7"/>
        <v>0</v>
      </c>
      <c r="AB66" s="102">
        <f t="shared" si="8"/>
        <v>0</v>
      </c>
      <c r="AC66" s="102">
        <f t="shared" si="9"/>
        <v>0</v>
      </c>
      <c r="AD66" s="102">
        <f t="shared" si="10"/>
        <v>0</v>
      </c>
      <c r="AE66" s="102">
        <f t="shared" si="13"/>
        <v>0</v>
      </c>
      <c r="AF66" s="129">
        <f t="shared" si="14"/>
        <v>0</v>
      </c>
    </row>
    <row r="67" spans="2:32" x14ac:dyDescent="0.25">
      <c r="B67" s="4" t="s">
        <v>188</v>
      </c>
      <c r="C67" s="70"/>
      <c r="D67" s="70"/>
      <c r="E67" s="70"/>
      <c r="F67" s="102">
        <f t="shared" si="3"/>
        <v>0</v>
      </c>
      <c r="G67" s="120"/>
      <c r="H67" s="120"/>
      <c r="I67" s="120"/>
      <c r="J67" s="120"/>
      <c r="K67" s="120"/>
      <c r="L67" s="120"/>
      <c r="M67" s="128">
        <f t="shared" si="4"/>
        <v>0</v>
      </c>
      <c r="N67" s="102">
        <f t="shared" si="12"/>
        <v>0</v>
      </c>
      <c r="O67" s="120"/>
      <c r="P67" s="120"/>
      <c r="Q67" s="120"/>
      <c r="R67" s="120"/>
      <c r="S67" s="120"/>
      <c r="T67" s="120"/>
      <c r="U67" s="128">
        <f t="shared" si="5"/>
        <v>0</v>
      </c>
      <c r="V67" s="102">
        <f t="shared" si="6"/>
        <v>0</v>
      </c>
      <c r="W67" s="21"/>
      <c r="X67" s="21"/>
      <c r="Y67" s="21"/>
      <c r="Z67" s="21"/>
      <c r="AA67" s="102">
        <f t="shared" si="7"/>
        <v>0</v>
      </c>
      <c r="AB67" s="102">
        <f t="shared" si="8"/>
        <v>0</v>
      </c>
      <c r="AC67" s="102">
        <f t="shared" si="9"/>
        <v>0</v>
      </c>
      <c r="AD67" s="102">
        <f t="shared" si="10"/>
        <v>0</v>
      </c>
      <c r="AE67" s="102">
        <f t="shared" si="13"/>
        <v>0</v>
      </c>
      <c r="AF67" s="129">
        <f t="shared" si="14"/>
        <v>0</v>
      </c>
    </row>
    <row r="68" spans="2:32" x14ac:dyDescent="0.25">
      <c r="B68" s="4" t="s">
        <v>188</v>
      </c>
      <c r="C68" s="70"/>
      <c r="D68" s="70"/>
      <c r="E68" s="70"/>
      <c r="F68" s="102">
        <f t="shared" si="3"/>
        <v>0</v>
      </c>
      <c r="G68" s="120"/>
      <c r="H68" s="120"/>
      <c r="I68" s="120"/>
      <c r="J68" s="120"/>
      <c r="K68" s="120"/>
      <c r="L68" s="120"/>
      <c r="M68" s="128">
        <f t="shared" si="4"/>
        <v>0</v>
      </c>
      <c r="N68" s="102">
        <f t="shared" si="12"/>
        <v>0</v>
      </c>
      <c r="O68" s="120"/>
      <c r="P68" s="120"/>
      <c r="Q68" s="120"/>
      <c r="R68" s="120"/>
      <c r="S68" s="120"/>
      <c r="T68" s="120"/>
      <c r="U68" s="128">
        <f t="shared" si="5"/>
        <v>0</v>
      </c>
      <c r="V68" s="102">
        <f t="shared" si="6"/>
        <v>0</v>
      </c>
      <c r="W68" s="21"/>
      <c r="X68" s="21"/>
      <c r="Y68" s="21"/>
      <c r="Z68" s="21"/>
      <c r="AA68" s="102">
        <f t="shared" si="7"/>
        <v>0</v>
      </c>
      <c r="AB68" s="102">
        <f t="shared" si="8"/>
        <v>0</v>
      </c>
      <c r="AC68" s="102">
        <f t="shared" si="9"/>
        <v>0</v>
      </c>
      <c r="AD68" s="102">
        <f t="shared" si="10"/>
        <v>0</v>
      </c>
      <c r="AE68" s="102">
        <f t="shared" si="13"/>
        <v>0</v>
      </c>
      <c r="AF68" s="129">
        <f t="shared" si="14"/>
        <v>0</v>
      </c>
    </row>
    <row r="69" spans="2:32" x14ac:dyDescent="0.25">
      <c r="B69" s="4" t="s">
        <v>188</v>
      </c>
      <c r="C69" s="70"/>
      <c r="D69" s="70"/>
      <c r="E69" s="70"/>
      <c r="F69" s="102">
        <f t="shared" si="3"/>
        <v>0</v>
      </c>
      <c r="G69" s="120"/>
      <c r="H69" s="120"/>
      <c r="I69" s="120"/>
      <c r="J69" s="120"/>
      <c r="K69" s="120"/>
      <c r="L69" s="120"/>
      <c r="M69" s="128">
        <f t="shared" si="4"/>
        <v>0</v>
      </c>
      <c r="N69" s="102">
        <f t="shared" ref="N69:N100" si="15">M69*$N$2</f>
        <v>0</v>
      </c>
      <c r="O69" s="120"/>
      <c r="P69" s="120"/>
      <c r="Q69" s="120"/>
      <c r="R69" s="120"/>
      <c r="S69" s="120"/>
      <c r="T69" s="120"/>
      <c r="U69" s="128">
        <f t="shared" si="5"/>
        <v>0</v>
      </c>
      <c r="V69" s="102">
        <f t="shared" si="6"/>
        <v>0</v>
      </c>
      <c r="W69" s="21"/>
      <c r="X69" s="21"/>
      <c r="Y69" s="21"/>
      <c r="Z69" s="21"/>
      <c r="AA69" s="102">
        <f t="shared" si="7"/>
        <v>0</v>
      </c>
      <c r="AB69" s="102">
        <f t="shared" si="8"/>
        <v>0</v>
      </c>
      <c r="AC69" s="102">
        <f t="shared" si="9"/>
        <v>0</v>
      </c>
      <c r="AD69" s="102">
        <f t="shared" si="10"/>
        <v>0</v>
      </c>
      <c r="AE69" s="102">
        <f t="shared" ref="AE69:AE100" si="16">SUMIF($4:$4,$N$4,69:69)*$AG$2*SUM(W69:Z69)*0.25</f>
        <v>0</v>
      </c>
      <c r="AF69" s="129">
        <f t="shared" ref="AF69:AF100" si="17">+F69*AE69</f>
        <v>0</v>
      </c>
    </row>
    <row r="70" spans="2:32" x14ac:dyDescent="0.25">
      <c r="B70" s="4" t="s">
        <v>188</v>
      </c>
      <c r="C70" s="70"/>
      <c r="D70" s="70"/>
      <c r="E70" s="70"/>
      <c r="F70" s="102">
        <f t="shared" ref="F70:F133" si="18">D70*E70</f>
        <v>0</v>
      </c>
      <c r="G70" s="120"/>
      <c r="H70" s="120"/>
      <c r="I70" s="120"/>
      <c r="J70" s="120"/>
      <c r="K70" s="120"/>
      <c r="L70" s="120"/>
      <c r="M70" s="128">
        <f t="shared" ref="M70:M133" si="19">-G70-I70-K70+H70+J70+L70</f>
        <v>0</v>
      </c>
      <c r="N70" s="102">
        <f t="shared" si="15"/>
        <v>0</v>
      </c>
      <c r="O70" s="120"/>
      <c r="P70" s="120"/>
      <c r="Q70" s="120"/>
      <c r="R70" s="120"/>
      <c r="S70" s="120"/>
      <c r="T70" s="120"/>
      <c r="U70" s="128">
        <f t="shared" ref="U70:U133" si="20">-O70-Q70-S70+P70+R70+T70</f>
        <v>0</v>
      </c>
      <c r="V70" s="102">
        <f t="shared" ref="V70:V133" si="21">U70*$V$2</f>
        <v>0</v>
      </c>
      <c r="W70" s="21"/>
      <c r="X70" s="21"/>
      <c r="Y70" s="21"/>
      <c r="Z70" s="21"/>
      <c r="AA70" s="102">
        <f t="shared" ref="AA70:AA133" si="22">W70*$F70</f>
        <v>0</v>
      </c>
      <c r="AB70" s="102">
        <f t="shared" ref="AB70:AB133" si="23">X70*$F70</f>
        <v>0</v>
      </c>
      <c r="AC70" s="102">
        <f t="shared" ref="AC70:AC133" si="24">Y70*$F70</f>
        <v>0</v>
      </c>
      <c r="AD70" s="102">
        <f t="shared" ref="AD70:AD133" si="25">Z70*$F70</f>
        <v>0</v>
      </c>
      <c r="AE70" s="102">
        <f t="shared" si="16"/>
        <v>0</v>
      </c>
      <c r="AF70" s="129">
        <f t="shared" si="17"/>
        <v>0</v>
      </c>
    </row>
    <row r="71" spans="2:32" x14ac:dyDescent="0.25">
      <c r="B71" s="4" t="s">
        <v>188</v>
      </c>
      <c r="C71" s="70"/>
      <c r="D71" s="70"/>
      <c r="E71" s="70"/>
      <c r="F71" s="102">
        <f t="shared" si="18"/>
        <v>0</v>
      </c>
      <c r="G71" s="120"/>
      <c r="H71" s="120"/>
      <c r="I71" s="120"/>
      <c r="J71" s="120"/>
      <c r="K71" s="120"/>
      <c r="L71" s="120"/>
      <c r="M71" s="128">
        <f t="shared" si="19"/>
        <v>0</v>
      </c>
      <c r="N71" s="102">
        <f t="shared" si="15"/>
        <v>0</v>
      </c>
      <c r="O71" s="120"/>
      <c r="P71" s="120"/>
      <c r="Q71" s="120"/>
      <c r="R71" s="120"/>
      <c r="S71" s="120"/>
      <c r="T71" s="120"/>
      <c r="U71" s="128">
        <f t="shared" si="20"/>
        <v>0</v>
      </c>
      <c r="V71" s="102">
        <f t="shared" si="21"/>
        <v>0</v>
      </c>
      <c r="W71" s="21"/>
      <c r="X71" s="21"/>
      <c r="Y71" s="21"/>
      <c r="Z71" s="21"/>
      <c r="AA71" s="102">
        <f t="shared" si="22"/>
        <v>0</v>
      </c>
      <c r="AB71" s="102">
        <f t="shared" si="23"/>
        <v>0</v>
      </c>
      <c r="AC71" s="102">
        <f t="shared" si="24"/>
        <v>0</v>
      </c>
      <c r="AD71" s="102">
        <f t="shared" si="25"/>
        <v>0</v>
      </c>
      <c r="AE71" s="102">
        <f t="shared" si="16"/>
        <v>0</v>
      </c>
      <c r="AF71" s="129">
        <f t="shared" si="17"/>
        <v>0</v>
      </c>
    </row>
    <row r="72" spans="2:32" x14ac:dyDescent="0.25">
      <c r="B72" s="4" t="s">
        <v>188</v>
      </c>
      <c r="C72" s="70"/>
      <c r="D72" s="70"/>
      <c r="E72" s="70"/>
      <c r="F72" s="102">
        <f t="shared" si="18"/>
        <v>0</v>
      </c>
      <c r="G72" s="120"/>
      <c r="H72" s="120"/>
      <c r="I72" s="120"/>
      <c r="J72" s="120"/>
      <c r="K72" s="120"/>
      <c r="L72" s="120"/>
      <c r="M72" s="128">
        <f t="shared" si="19"/>
        <v>0</v>
      </c>
      <c r="N72" s="102">
        <f t="shared" si="15"/>
        <v>0</v>
      </c>
      <c r="O72" s="120"/>
      <c r="P72" s="120"/>
      <c r="Q72" s="120"/>
      <c r="R72" s="120"/>
      <c r="S72" s="120"/>
      <c r="T72" s="120"/>
      <c r="U72" s="128">
        <f t="shared" si="20"/>
        <v>0</v>
      </c>
      <c r="V72" s="102">
        <f t="shared" si="21"/>
        <v>0</v>
      </c>
      <c r="W72" s="21"/>
      <c r="X72" s="21"/>
      <c r="Y72" s="21"/>
      <c r="Z72" s="21"/>
      <c r="AA72" s="102">
        <f t="shared" si="22"/>
        <v>0</v>
      </c>
      <c r="AB72" s="102">
        <f t="shared" si="23"/>
        <v>0</v>
      </c>
      <c r="AC72" s="102">
        <f t="shared" si="24"/>
        <v>0</v>
      </c>
      <c r="AD72" s="102">
        <f t="shared" si="25"/>
        <v>0</v>
      </c>
      <c r="AE72" s="102">
        <f t="shared" si="16"/>
        <v>0</v>
      </c>
      <c r="AF72" s="129">
        <f t="shared" si="17"/>
        <v>0</v>
      </c>
    </row>
    <row r="73" spans="2:32" x14ac:dyDescent="0.25">
      <c r="B73" s="4" t="s">
        <v>188</v>
      </c>
      <c r="C73" s="70"/>
      <c r="D73" s="70"/>
      <c r="E73" s="70"/>
      <c r="F73" s="102">
        <f t="shared" si="18"/>
        <v>0</v>
      </c>
      <c r="G73" s="120"/>
      <c r="H73" s="120"/>
      <c r="I73" s="120"/>
      <c r="J73" s="120"/>
      <c r="K73" s="120"/>
      <c r="L73" s="120"/>
      <c r="M73" s="128">
        <f t="shared" si="19"/>
        <v>0</v>
      </c>
      <c r="N73" s="102">
        <f t="shared" si="15"/>
        <v>0</v>
      </c>
      <c r="O73" s="120"/>
      <c r="P73" s="120"/>
      <c r="Q73" s="120"/>
      <c r="R73" s="120"/>
      <c r="S73" s="120"/>
      <c r="T73" s="120"/>
      <c r="U73" s="128">
        <f t="shared" si="20"/>
        <v>0</v>
      </c>
      <c r="V73" s="102">
        <f t="shared" si="21"/>
        <v>0</v>
      </c>
      <c r="W73" s="21"/>
      <c r="X73" s="21"/>
      <c r="Y73" s="21"/>
      <c r="Z73" s="21"/>
      <c r="AA73" s="102">
        <f t="shared" si="22"/>
        <v>0</v>
      </c>
      <c r="AB73" s="102">
        <f t="shared" si="23"/>
        <v>0</v>
      </c>
      <c r="AC73" s="102">
        <f t="shared" si="24"/>
        <v>0</v>
      </c>
      <c r="AD73" s="102">
        <f t="shared" si="25"/>
        <v>0</v>
      </c>
      <c r="AE73" s="102">
        <f t="shared" si="16"/>
        <v>0</v>
      </c>
      <c r="AF73" s="129">
        <f t="shared" si="17"/>
        <v>0</v>
      </c>
    </row>
    <row r="74" spans="2:32" x14ac:dyDescent="0.25">
      <c r="B74" s="4" t="s">
        <v>188</v>
      </c>
      <c r="C74" s="70"/>
      <c r="D74" s="70"/>
      <c r="E74" s="70"/>
      <c r="F74" s="102">
        <f t="shared" si="18"/>
        <v>0</v>
      </c>
      <c r="G74" s="120"/>
      <c r="H74" s="120"/>
      <c r="I74" s="120"/>
      <c r="J74" s="120"/>
      <c r="K74" s="120"/>
      <c r="L74" s="120"/>
      <c r="M74" s="128">
        <f t="shared" si="19"/>
        <v>0</v>
      </c>
      <c r="N74" s="102">
        <f t="shared" si="15"/>
        <v>0</v>
      </c>
      <c r="O74" s="120"/>
      <c r="P74" s="120"/>
      <c r="Q74" s="120"/>
      <c r="R74" s="120"/>
      <c r="S74" s="120"/>
      <c r="T74" s="120"/>
      <c r="U74" s="128">
        <f t="shared" si="20"/>
        <v>0</v>
      </c>
      <c r="V74" s="102">
        <f t="shared" si="21"/>
        <v>0</v>
      </c>
      <c r="W74" s="21"/>
      <c r="X74" s="21"/>
      <c r="Y74" s="21"/>
      <c r="Z74" s="21"/>
      <c r="AA74" s="102">
        <f t="shared" si="22"/>
        <v>0</v>
      </c>
      <c r="AB74" s="102">
        <f t="shared" si="23"/>
        <v>0</v>
      </c>
      <c r="AC74" s="102">
        <f t="shared" si="24"/>
        <v>0</v>
      </c>
      <c r="AD74" s="102">
        <f t="shared" si="25"/>
        <v>0</v>
      </c>
      <c r="AE74" s="102">
        <f t="shared" si="16"/>
        <v>0</v>
      </c>
      <c r="AF74" s="129">
        <f t="shared" si="17"/>
        <v>0</v>
      </c>
    </row>
    <row r="75" spans="2:32" x14ac:dyDescent="0.25">
      <c r="B75" s="4" t="s">
        <v>188</v>
      </c>
      <c r="C75" s="70"/>
      <c r="D75" s="70"/>
      <c r="E75" s="70"/>
      <c r="F75" s="102">
        <f t="shared" si="18"/>
        <v>0</v>
      </c>
      <c r="G75" s="120"/>
      <c r="H75" s="120"/>
      <c r="I75" s="120"/>
      <c r="J75" s="120"/>
      <c r="K75" s="120"/>
      <c r="L75" s="120"/>
      <c r="M75" s="128">
        <f t="shared" si="19"/>
        <v>0</v>
      </c>
      <c r="N75" s="102">
        <f t="shared" si="15"/>
        <v>0</v>
      </c>
      <c r="O75" s="120"/>
      <c r="P75" s="120"/>
      <c r="Q75" s="120"/>
      <c r="R75" s="120"/>
      <c r="S75" s="120"/>
      <c r="T75" s="120"/>
      <c r="U75" s="128">
        <f t="shared" si="20"/>
        <v>0</v>
      </c>
      <c r="V75" s="102">
        <f t="shared" si="21"/>
        <v>0</v>
      </c>
      <c r="W75" s="21"/>
      <c r="X75" s="21"/>
      <c r="Y75" s="21"/>
      <c r="Z75" s="21"/>
      <c r="AA75" s="102">
        <f t="shared" si="22"/>
        <v>0</v>
      </c>
      <c r="AB75" s="102">
        <f t="shared" si="23"/>
        <v>0</v>
      </c>
      <c r="AC75" s="102">
        <f t="shared" si="24"/>
        <v>0</v>
      </c>
      <c r="AD75" s="102">
        <f t="shared" si="25"/>
        <v>0</v>
      </c>
      <c r="AE75" s="102">
        <f t="shared" si="16"/>
        <v>0</v>
      </c>
      <c r="AF75" s="129">
        <f t="shared" si="17"/>
        <v>0</v>
      </c>
    </row>
    <row r="76" spans="2:32" x14ac:dyDescent="0.25">
      <c r="B76" s="4" t="s">
        <v>188</v>
      </c>
      <c r="C76" s="70"/>
      <c r="D76" s="70"/>
      <c r="E76" s="70"/>
      <c r="F76" s="102">
        <f t="shared" si="18"/>
        <v>0</v>
      </c>
      <c r="G76" s="120"/>
      <c r="H76" s="120"/>
      <c r="I76" s="120"/>
      <c r="J76" s="120"/>
      <c r="K76" s="120"/>
      <c r="L76" s="120"/>
      <c r="M76" s="128">
        <f t="shared" si="19"/>
        <v>0</v>
      </c>
      <c r="N76" s="102">
        <f t="shared" si="15"/>
        <v>0</v>
      </c>
      <c r="O76" s="120"/>
      <c r="P76" s="120"/>
      <c r="Q76" s="120"/>
      <c r="R76" s="120"/>
      <c r="S76" s="120"/>
      <c r="T76" s="120"/>
      <c r="U76" s="128">
        <f t="shared" si="20"/>
        <v>0</v>
      </c>
      <c r="V76" s="102">
        <f t="shared" si="21"/>
        <v>0</v>
      </c>
      <c r="W76" s="21"/>
      <c r="X76" s="21"/>
      <c r="Y76" s="21"/>
      <c r="Z76" s="21"/>
      <c r="AA76" s="102">
        <f t="shared" si="22"/>
        <v>0</v>
      </c>
      <c r="AB76" s="102">
        <f t="shared" si="23"/>
        <v>0</v>
      </c>
      <c r="AC76" s="102">
        <f t="shared" si="24"/>
        <v>0</v>
      </c>
      <c r="AD76" s="102">
        <f t="shared" si="25"/>
        <v>0</v>
      </c>
      <c r="AE76" s="102">
        <f t="shared" si="16"/>
        <v>0</v>
      </c>
      <c r="AF76" s="129">
        <f t="shared" si="17"/>
        <v>0</v>
      </c>
    </row>
    <row r="77" spans="2:32" x14ac:dyDescent="0.25">
      <c r="B77" s="4" t="s">
        <v>188</v>
      </c>
      <c r="C77" s="70"/>
      <c r="D77" s="70"/>
      <c r="E77" s="70"/>
      <c r="F77" s="102">
        <f t="shared" si="18"/>
        <v>0</v>
      </c>
      <c r="G77" s="120"/>
      <c r="H77" s="120"/>
      <c r="I77" s="120"/>
      <c r="J77" s="120"/>
      <c r="K77" s="120"/>
      <c r="L77" s="120"/>
      <c r="M77" s="128">
        <f t="shared" si="19"/>
        <v>0</v>
      </c>
      <c r="N77" s="102">
        <f t="shared" si="15"/>
        <v>0</v>
      </c>
      <c r="O77" s="120"/>
      <c r="P77" s="120"/>
      <c r="Q77" s="120"/>
      <c r="R77" s="120"/>
      <c r="S77" s="120"/>
      <c r="T77" s="120"/>
      <c r="U77" s="128">
        <f t="shared" si="20"/>
        <v>0</v>
      </c>
      <c r="V77" s="102">
        <f t="shared" si="21"/>
        <v>0</v>
      </c>
      <c r="W77" s="21"/>
      <c r="X77" s="21"/>
      <c r="Y77" s="21"/>
      <c r="Z77" s="21"/>
      <c r="AA77" s="102">
        <f t="shared" si="22"/>
        <v>0</v>
      </c>
      <c r="AB77" s="102">
        <f t="shared" si="23"/>
        <v>0</v>
      </c>
      <c r="AC77" s="102">
        <f t="shared" si="24"/>
        <v>0</v>
      </c>
      <c r="AD77" s="102">
        <f t="shared" si="25"/>
        <v>0</v>
      </c>
      <c r="AE77" s="102">
        <f t="shared" si="16"/>
        <v>0</v>
      </c>
      <c r="AF77" s="129">
        <f t="shared" si="17"/>
        <v>0</v>
      </c>
    </row>
    <row r="78" spans="2:32" x14ac:dyDescent="0.25">
      <c r="B78" s="4" t="s">
        <v>188</v>
      </c>
      <c r="C78" s="70"/>
      <c r="D78" s="70"/>
      <c r="E78" s="70"/>
      <c r="F78" s="102">
        <f t="shared" si="18"/>
        <v>0</v>
      </c>
      <c r="G78" s="120"/>
      <c r="H78" s="120"/>
      <c r="I78" s="120"/>
      <c r="J78" s="120"/>
      <c r="K78" s="120"/>
      <c r="L78" s="120"/>
      <c r="M78" s="128">
        <f t="shared" si="19"/>
        <v>0</v>
      </c>
      <c r="N78" s="102">
        <f t="shared" si="15"/>
        <v>0</v>
      </c>
      <c r="O78" s="120"/>
      <c r="P78" s="120"/>
      <c r="Q78" s="120"/>
      <c r="R78" s="120"/>
      <c r="S78" s="120"/>
      <c r="T78" s="120"/>
      <c r="U78" s="128">
        <f t="shared" si="20"/>
        <v>0</v>
      </c>
      <c r="V78" s="102">
        <f t="shared" si="21"/>
        <v>0</v>
      </c>
      <c r="W78" s="21"/>
      <c r="X78" s="21"/>
      <c r="Y78" s="21"/>
      <c r="Z78" s="21"/>
      <c r="AA78" s="102">
        <f t="shared" si="22"/>
        <v>0</v>
      </c>
      <c r="AB78" s="102">
        <f t="shared" si="23"/>
        <v>0</v>
      </c>
      <c r="AC78" s="102">
        <f t="shared" si="24"/>
        <v>0</v>
      </c>
      <c r="AD78" s="102">
        <f t="shared" si="25"/>
        <v>0</v>
      </c>
      <c r="AE78" s="102">
        <f t="shared" si="16"/>
        <v>0</v>
      </c>
      <c r="AF78" s="129">
        <f t="shared" si="17"/>
        <v>0</v>
      </c>
    </row>
    <row r="79" spans="2:32" x14ac:dyDescent="0.25">
      <c r="B79" s="4" t="s">
        <v>188</v>
      </c>
      <c r="C79" s="70"/>
      <c r="D79" s="70"/>
      <c r="E79" s="70"/>
      <c r="F79" s="102">
        <f t="shared" si="18"/>
        <v>0</v>
      </c>
      <c r="G79" s="120"/>
      <c r="H79" s="120"/>
      <c r="I79" s="120"/>
      <c r="J79" s="120"/>
      <c r="K79" s="120"/>
      <c r="L79" s="120"/>
      <c r="M79" s="128">
        <f t="shared" si="19"/>
        <v>0</v>
      </c>
      <c r="N79" s="102">
        <f t="shared" si="15"/>
        <v>0</v>
      </c>
      <c r="O79" s="120"/>
      <c r="P79" s="120"/>
      <c r="Q79" s="120"/>
      <c r="R79" s="120"/>
      <c r="S79" s="120"/>
      <c r="T79" s="120"/>
      <c r="U79" s="128">
        <f t="shared" si="20"/>
        <v>0</v>
      </c>
      <c r="V79" s="102">
        <f t="shared" si="21"/>
        <v>0</v>
      </c>
      <c r="W79" s="21"/>
      <c r="X79" s="21"/>
      <c r="Y79" s="21"/>
      <c r="Z79" s="21"/>
      <c r="AA79" s="102">
        <f t="shared" si="22"/>
        <v>0</v>
      </c>
      <c r="AB79" s="102">
        <f t="shared" si="23"/>
        <v>0</v>
      </c>
      <c r="AC79" s="102">
        <f t="shared" si="24"/>
        <v>0</v>
      </c>
      <c r="AD79" s="102">
        <f t="shared" si="25"/>
        <v>0</v>
      </c>
      <c r="AE79" s="102">
        <f t="shared" si="16"/>
        <v>0</v>
      </c>
      <c r="AF79" s="129">
        <f t="shared" si="17"/>
        <v>0</v>
      </c>
    </row>
    <row r="80" spans="2:32" x14ac:dyDescent="0.25">
      <c r="B80" s="4" t="s">
        <v>188</v>
      </c>
      <c r="C80" s="70"/>
      <c r="D80" s="70"/>
      <c r="E80" s="70"/>
      <c r="F80" s="102">
        <f t="shared" si="18"/>
        <v>0</v>
      </c>
      <c r="G80" s="120"/>
      <c r="H80" s="120"/>
      <c r="I80" s="120"/>
      <c r="J80" s="120"/>
      <c r="K80" s="120"/>
      <c r="L80" s="120"/>
      <c r="M80" s="128">
        <f t="shared" si="19"/>
        <v>0</v>
      </c>
      <c r="N80" s="102">
        <f t="shared" si="15"/>
        <v>0</v>
      </c>
      <c r="O80" s="120"/>
      <c r="P80" s="120"/>
      <c r="Q80" s="120"/>
      <c r="R80" s="120"/>
      <c r="S80" s="120"/>
      <c r="T80" s="120"/>
      <c r="U80" s="128">
        <f t="shared" si="20"/>
        <v>0</v>
      </c>
      <c r="V80" s="102">
        <f t="shared" si="21"/>
        <v>0</v>
      </c>
      <c r="W80" s="21"/>
      <c r="X80" s="21"/>
      <c r="Y80" s="21"/>
      <c r="Z80" s="21"/>
      <c r="AA80" s="102">
        <f t="shared" si="22"/>
        <v>0</v>
      </c>
      <c r="AB80" s="102">
        <f t="shared" si="23"/>
        <v>0</v>
      </c>
      <c r="AC80" s="102">
        <f t="shared" si="24"/>
        <v>0</v>
      </c>
      <c r="AD80" s="102">
        <f t="shared" si="25"/>
        <v>0</v>
      </c>
      <c r="AE80" s="102">
        <f t="shared" si="16"/>
        <v>0</v>
      </c>
      <c r="AF80" s="129">
        <f t="shared" si="17"/>
        <v>0</v>
      </c>
    </row>
    <row r="81" spans="2:32" x14ac:dyDescent="0.25">
      <c r="B81" s="4" t="s">
        <v>188</v>
      </c>
      <c r="C81" s="70"/>
      <c r="D81" s="70"/>
      <c r="E81" s="70"/>
      <c r="F81" s="102">
        <f t="shared" si="18"/>
        <v>0</v>
      </c>
      <c r="G81" s="120"/>
      <c r="H81" s="120"/>
      <c r="I81" s="120"/>
      <c r="J81" s="120"/>
      <c r="K81" s="120"/>
      <c r="L81" s="120"/>
      <c r="M81" s="128">
        <f t="shared" si="19"/>
        <v>0</v>
      </c>
      <c r="N81" s="102">
        <f t="shared" si="15"/>
        <v>0</v>
      </c>
      <c r="O81" s="120"/>
      <c r="P81" s="120"/>
      <c r="Q81" s="120"/>
      <c r="R81" s="120"/>
      <c r="S81" s="120"/>
      <c r="T81" s="120"/>
      <c r="U81" s="128">
        <f t="shared" si="20"/>
        <v>0</v>
      </c>
      <c r="V81" s="102">
        <f t="shared" si="21"/>
        <v>0</v>
      </c>
      <c r="W81" s="21"/>
      <c r="X81" s="21"/>
      <c r="Y81" s="21"/>
      <c r="Z81" s="21"/>
      <c r="AA81" s="102">
        <f t="shared" si="22"/>
        <v>0</v>
      </c>
      <c r="AB81" s="102">
        <f t="shared" si="23"/>
        <v>0</v>
      </c>
      <c r="AC81" s="102">
        <f t="shared" si="24"/>
        <v>0</v>
      </c>
      <c r="AD81" s="102">
        <f t="shared" si="25"/>
        <v>0</v>
      </c>
      <c r="AE81" s="102">
        <f t="shared" si="16"/>
        <v>0</v>
      </c>
      <c r="AF81" s="129">
        <f t="shared" si="17"/>
        <v>0</v>
      </c>
    </row>
    <row r="82" spans="2:32" x14ac:dyDescent="0.25">
      <c r="B82" s="4" t="s">
        <v>188</v>
      </c>
      <c r="C82" s="70"/>
      <c r="D82" s="70"/>
      <c r="E82" s="70"/>
      <c r="F82" s="102">
        <f t="shared" si="18"/>
        <v>0</v>
      </c>
      <c r="G82" s="120"/>
      <c r="H82" s="120"/>
      <c r="I82" s="120"/>
      <c r="J82" s="120"/>
      <c r="K82" s="120"/>
      <c r="L82" s="120"/>
      <c r="M82" s="128">
        <f t="shared" si="19"/>
        <v>0</v>
      </c>
      <c r="N82" s="102">
        <f t="shared" si="15"/>
        <v>0</v>
      </c>
      <c r="O82" s="120"/>
      <c r="P82" s="120"/>
      <c r="Q82" s="120"/>
      <c r="R82" s="120"/>
      <c r="S82" s="120"/>
      <c r="T82" s="120"/>
      <c r="U82" s="128">
        <f t="shared" si="20"/>
        <v>0</v>
      </c>
      <c r="V82" s="102">
        <f t="shared" si="21"/>
        <v>0</v>
      </c>
      <c r="W82" s="21"/>
      <c r="X82" s="21"/>
      <c r="Y82" s="21"/>
      <c r="Z82" s="21"/>
      <c r="AA82" s="102">
        <f t="shared" si="22"/>
        <v>0</v>
      </c>
      <c r="AB82" s="102">
        <f t="shared" si="23"/>
        <v>0</v>
      </c>
      <c r="AC82" s="102">
        <f t="shared" si="24"/>
        <v>0</v>
      </c>
      <c r="AD82" s="102">
        <f t="shared" si="25"/>
        <v>0</v>
      </c>
      <c r="AE82" s="102">
        <f t="shared" si="16"/>
        <v>0</v>
      </c>
      <c r="AF82" s="129">
        <f t="shared" si="17"/>
        <v>0</v>
      </c>
    </row>
    <row r="83" spans="2:32" x14ac:dyDescent="0.25">
      <c r="B83" s="4" t="s">
        <v>188</v>
      </c>
      <c r="C83" s="70"/>
      <c r="D83" s="70"/>
      <c r="E83" s="70"/>
      <c r="F83" s="102">
        <f t="shared" si="18"/>
        <v>0</v>
      </c>
      <c r="G83" s="120"/>
      <c r="H83" s="120"/>
      <c r="I83" s="120"/>
      <c r="J83" s="120"/>
      <c r="K83" s="120"/>
      <c r="L83" s="120"/>
      <c r="M83" s="128">
        <f t="shared" si="19"/>
        <v>0</v>
      </c>
      <c r="N83" s="102">
        <f t="shared" si="15"/>
        <v>0</v>
      </c>
      <c r="O83" s="120"/>
      <c r="P83" s="120"/>
      <c r="Q83" s="120"/>
      <c r="R83" s="120"/>
      <c r="S83" s="120"/>
      <c r="T83" s="120"/>
      <c r="U83" s="128">
        <f t="shared" si="20"/>
        <v>0</v>
      </c>
      <c r="V83" s="102">
        <f t="shared" si="21"/>
        <v>0</v>
      </c>
      <c r="W83" s="21"/>
      <c r="X83" s="21"/>
      <c r="Y83" s="21"/>
      <c r="Z83" s="21"/>
      <c r="AA83" s="102">
        <f t="shared" si="22"/>
        <v>0</v>
      </c>
      <c r="AB83" s="102">
        <f t="shared" si="23"/>
        <v>0</v>
      </c>
      <c r="AC83" s="102">
        <f t="shared" si="24"/>
        <v>0</v>
      </c>
      <c r="AD83" s="102">
        <f t="shared" si="25"/>
        <v>0</v>
      </c>
      <c r="AE83" s="102">
        <f t="shared" si="16"/>
        <v>0</v>
      </c>
      <c r="AF83" s="129">
        <f t="shared" si="17"/>
        <v>0</v>
      </c>
    </row>
    <row r="84" spans="2:32" x14ac:dyDescent="0.25">
      <c r="B84" s="4" t="s">
        <v>188</v>
      </c>
      <c r="C84" s="70"/>
      <c r="D84" s="70"/>
      <c r="E84" s="70"/>
      <c r="F84" s="102">
        <f t="shared" si="18"/>
        <v>0</v>
      </c>
      <c r="G84" s="120"/>
      <c r="H84" s="120"/>
      <c r="I84" s="120"/>
      <c r="J84" s="120"/>
      <c r="K84" s="120"/>
      <c r="L84" s="120"/>
      <c r="M84" s="128">
        <f t="shared" si="19"/>
        <v>0</v>
      </c>
      <c r="N84" s="102">
        <f t="shared" si="15"/>
        <v>0</v>
      </c>
      <c r="O84" s="120"/>
      <c r="P84" s="120"/>
      <c r="Q84" s="120"/>
      <c r="R84" s="120"/>
      <c r="S84" s="120"/>
      <c r="T84" s="120"/>
      <c r="U84" s="128">
        <f t="shared" si="20"/>
        <v>0</v>
      </c>
      <c r="V84" s="102">
        <f t="shared" si="21"/>
        <v>0</v>
      </c>
      <c r="W84" s="21"/>
      <c r="X84" s="21"/>
      <c r="Y84" s="21"/>
      <c r="Z84" s="21"/>
      <c r="AA84" s="102">
        <f t="shared" si="22"/>
        <v>0</v>
      </c>
      <c r="AB84" s="102">
        <f t="shared" si="23"/>
        <v>0</v>
      </c>
      <c r="AC84" s="102">
        <f t="shared" si="24"/>
        <v>0</v>
      </c>
      <c r="AD84" s="102">
        <f t="shared" si="25"/>
        <v>0</v>
      </c>
      <c r="AE84" s="102">
        <f t="shared" si="16"/>
        <v>0</v>
      </c>
      <c r="AF84" s="129">
        <f t="shared" si="17"/>
        <v>0</v>
      </c>
    </row>
    <row r="85" spans="2:32" x14ac:dyDescent="0.25">
      <c r="B85" s="4" t="s">
        <v>188</v>
      </c>
      <c r="C85" s="70"/>
      <c r="D85" s="70"/>
      <c r="E85" s="70"/>
      <c r="F85" s="102">
        <f t="shared" si="18"/>
        <v>0</v>
      </c>
      <c r="G85" s="120"/>
      <c r="H85" s="120"/>
      <c r="I85" s="120"/>
      <c r="J85" s="120"/>
      <c r="K85" s="120"/>
      <c r="L85" s="120"/>
      <c r="M85" s="128">
        <f t="shared" si="19"/>
        <v>0</v>
      </c>
      <c r="N85" s="102">
        <f t="shared" si="15"/>
        <v>0</v>
      </c>
      <c r="O85" s="120"/>
      <c r="P85" s="120"/>
      <c r="Q85" s="120"/>
      <c r="R85" s="120"/>
      <c r="S85" s="120"/>
      <c r="T85" s="120"/>
      <c r="U85" s="128">
        <f t="shared" si="20"/>
        <v>0</v>
      </c>
      <c r="V85" s="102">
        <f t="shared" si="21"/>
        <v>0</v>
      </c>
      <c r="W85" s="21"/>
      <c r="X85" s="21"/>
      <c r="Y85" s="21"/>
      <c r="Z85" s="21"/>
      <c r="AA85" s="102">
        <f t="shared" si="22"/>
        <v>0</v>
      </c>
      <c r="AB85" s="102">
        <f t="shared" si="23"/>
        <v>0</v>
      </c>
      <c r="AC85" s="102">
        <f t="shared" si="24"/>
        <v>0</v>
      </c>
      <c r="AD85" s="102">
        <f t="shared" si="25"/>
        <v>0</v>
      </c>
      <c r="AE85" s="102">
        <f t="shared" si="16"/>
        <v>0</v>
      </c>
      <c r="AF85" s="129">
        <f t="shared" si="17"/>
        <v>0</v>
      </c>
    </row>
    <row r="86" spans="2:32" x14ac:dyDescent="0.25">
      <c r="B86" s="4" t="s">
        <v>188</v>
      </c>
      <c r="C86" s="70"/>
      <c r="D86" s="70"/>
      <c r="E86" s="70"/>
      <c r="F86" s="102">
        <f t="shared" si="18"/>
        <v>0</v>
      </c>
      <c r="G86" s="120"/>
      <c r="H86" s="120"/>
      <c r="I86" s="120"/>
      <c r="J86" s="120"/>
      <c r="K86" s="120"/>
      <c r="L86" s="120"/>
      <c r="M86" s="128">
        <f t="shared" si="19"/>
        <v>0</v>
      </c>
      <c r="N86" s="102">
        <f t="shared" si="15"/>
        <v>0</v>
      </c>
      <c r="O86" s="120"/>
      <c r="P86" s="120"/>
      <c r="Q86" s="120"/>
      <c r="R86" s="120"/>
      <c r="S86" s="120"/>
      <c r="T86" s="120"/>
      <c r="U86" s="128">
        <f t="shared" si="20"/>
        <v>0</v>
      </c>
      <c r="V86" s="102">
        <f t="shared" si="21"/>
        <v>0</v>
      </c>
      <c r="W86" s="21"/>
      <c r="X86" s="21"/>
      <c r="Y86" s="21"/>
      <c r="Z86" s="21"/>
      <c r="AA86" s="102">
        <f t="shared" si="22"/>
        <v>0</v>
      </c>
      <c r="AB86" s="102">
        <f t="shared" si="23"/>
        <v>0</v>
      </c>
      <c r="AC86" s="102">
        <f t="shared" si="24"/>
        <v>0</v>
      </c>
      <c r="AD86" s="102">
        <f t="shared" si="25"/>
        <v>0</v>
      </c>
      <c r="AE86" s="102">
        <f t="shared" si="16"/>
        <v>0</v>
      </c>
      <c r="AF86" s="129">
        <f t="shared" si="17"/>
        <v>0</v>
      </c>
    </row>
    <row r="87" spans="2:32" x14ac:dyDescent="0.25">
      <c r="B87" s="4" t="s">
        <v>188</v>
      </c>
      <c r="C87" s="70"/>
      <c r="D87" s="70"/>
      <c r="E87" s="70"/>
      <c r="F87" s="102">
        <f t="shared" si="18"/>
        <v>0</v>
      </c>
      <c r="G87" s="120"/>
      <c r="H87" s="120"/>
      <c r="I87" s="120"/>
      <c r="J87" s="120"/>
      <c r="K87" s="120"/>
      <c r="L87" s="120"/>
      <c r="M87" s="128">
        <f t="shared" si="19"/>
        <v>0</v>
      </c>
      <c r="N87" s="102">
        <f t="shared" si="15"/>
        <v>0</v>
      </c>
      <c r="O87" s="120"/>
      <c r="P87" s="120"/>
      <c r="Q87" s="120"/>
      <c r="R87" s="120"/>
      <c r="S87" s="120"/>
      <c r="T87" s="120"/>
      <c r="U87" s="128">
        <f t="shared" si="20"/>
        <v>0</v>
      </c>
      <c r="V87" s="102">
        <f t="shared" si="21"/>
        <v>0</v>
      </c>
      <c r="W87" s="21"/>
      <c r="X87" s="21"/>
      <c r="Y87" s="21"/>
      <c r="Z87" s="21"/>
      <c r="AA87" s="102">
        <f t="shared" si="22"/>
        <v>0</v>
      </c>
      <c r="AB87" s="102">
        <f t="shared" si="23"/>
        <v>0</v>
      </c>
      <c r="AC87" s="102">
        <f t="shared" si="24"/>
        <v>0</v>
      </c>
      <c r="AD87" s="102">
        <f t="shared" si="25"/>
        <v>0</v>
      </c>
      <c r="AE87" s="102">
        <f t="shared" si="16"/>
        <v>0</v>
      </c>
      <c r="AF87" s="129">
        <f t="shared" si="17"/>
        <v>0</v>
      </c>
    </row>
    <row r="88" spans="2:32" x14ac:dyDescent="0.25">
      <c r="B88" s="4" t="s">
        <v>188</v>
      </c>
      <c r="C88" s="70"/>
      <c r="D88" s="70"/>
      <c r="E88" s="70"/>
      <c r="F88" s="102">
        <f t="shared" si="18"/>
        <v>0</v>
      </c>
      <c r="G88" s="120"/>
      <c r="H88" s="120"/>
      <c r="I88" s="120"/>
      <c r="J88" s="120"/>
      <c r="K88" s="120"/>
      <c r="L88" s="120"/>
      <c r="M88" s="128">
        <f t="shared" si="19"/>
        <v>0</v>
      </c>
      <c r="N88" s="102">
        <f t="shared" si="15"/>
        <v>0</v>
      </c>
      <c r="O88" s="120"/>
      <c r="P88" s="120"/>
      <c r="Q88" s="120"/>
      <c r="R88" s="120"/>
      <c r="S88" s="120"/>
      <c r="T88" s="120"/>
      <c r="U88" s="128">
        <f t="shared" si="20"/>
        <v>0</v>
      </c>
      <c r="V88" s="102">
        <f t="shared" si="21"/>
        <v>0</v>
      </c>
      <c r="W88" s="21"/>
      <c r="X88" s="21"/>
      <c r="Y88" s="21"/>
      <c r="Z88" s="21"/>
      <c r="AA88" s="102">
        <f t="shared" si="22"/>
        <v>0</v>
      </c>
      <c r="AB88" s="102">
        <f t="shared" si="23"/>
        <v>0</v>
      </c>
      <c r="AC88" s="102">
        <f t="shared" si="24"/>
        <v>0</v>
      </c>
      <c r="AD88" s="102">
        <f t="shared" si="25"/>
        <v>0</v>
      </c>
      <c r="AE88" s="102">
        <f t="shared" si="16"/>
        <v>0</v>
      </c>
      <c r="AF88" s="129">
        <f t="shared" si="17"/>
        <v>0</v>
      </c>
    </row>
    <row r="89" spans="2:32" x14ac:dyDescent="0.25">
      <c r="B89" s="4" t="s">
        <v>188</v>
      </c>
      <c r="C89" s="70"/>
      <c r="D89" s="70"/>
      <c r="E89" s="70"/>
      <c r="F89" s="102">
        <f t="shared" si="18"/>
        <v>0</v>
      </c>
      <c r="G89" s="120"/>
      <c r="H89" s="120"/>
      <c r="I89" s="120"/>
      <c r="J89" s="120"/>
      <c r="K89" s="120"/>
      <c r="L89" s="120"/>
      <c r="M89" s="128">
        <f t="shared" si="19"/>
        <v>0</v>
      </c>
      <c r="N89" s="102">
        <f t="shared" si="15"/>
        <v>0</v>
      </c>
      <c r="O89" s="120"/>
      <c r="P89" s="120"/>
      <c r="Q89" s="120"/>
      <c r="R89" s="120"/>
      <c r="S89" s="120"/>
      <c r="T89" s="120"/>
      <c r="U89" s="128">
        <f t="shared" si="20"/>
        <v>0</v>
      </c>
      <c r="V89" s="102">
        <f t="shared" si="21"/>
        <v>0</v>
      </c>
      <c r="W89" s="21"/>
      <c r="X89" s="21"/>
      <c r="Y89" s="21"/>
      <c r="Z89" s="21"/>
      <c r="AA89" s="102">
        <f t="shared" si="22"/>
        <v>0</v>
      </c>
      <c r="AB89" s="102">
        <f t="shared" si="23"/>
        <v>0</v>
      </c>
      <c r="AC89" s="102">
        <f t="shared" si="24"/>
        <v>0</v>
      </c>
      <c r="AD89" s="102">
        <f t="shared" si="25"/>
        <v>0</v>
      </c>
      <c r="AE89" s="102">
        <f t="shared" si="16"/>
        <v>0</v>
      </c>
      <c r="AF89" s="129">
        <f t="shared" si="17"/>
        <v>0</v>
      </c>
    </row>
    <row r="90" spans="2:32" x14ac:dyDescent="0.25">
      <c r="B90" s="4" t="s">
        <v>188</v>
      </c>
      <c r="C90" s="70"/>
      <c r="D90" s="70"/>
      <c r="E90" s="70"/>
      <c r="F90" s="102">
        <f t="shared" si="18"/>
        <v>0</v>
      </c>
      <c r="G90" s="120"/>
      <c r="H90" s="120"/>
      <c r="I90" s="120"/>
      <c r="J90" s="120"/>
      <c r="K90" s="120"/>
      <c r="L90" s="120"/>
      <c r="M90" s="128">
        <f t="shared" si="19"/>
        <v>0</v>
      </c>
      <c r="N90" s="102">
        <f t="shared" si="15"/>
        <v>0</v>
      </c>
      <c r="O90" s="120"/>
      <c r="P90" s="120"/>
      <c r="Q90" s="120"/>
      <c r="R90" s="120"/>
      <c r="S90" s="120"/>
      <c r="T90" s="120"/>
      <c r="U90" s="128">
        <f t="shared" si="20"/>
        <v>0</v>
      </c>
      <c r="V90" s="102">
        <f t="shared" si="21"/>
        <v>0</v>
      </c>
      <c r="W90" s="21"/>
      <c r="X90" s="21"/>
      <c r="Y90" s="21"/>
      <c r="Z90" s="21"/>
      <c r="AA90" s="102">
        <f t="shared" si="22"/>
        <v>0</v>
      </c>
      <c r="AB90" s="102">
        <f t="shared" si="23"/>
        <v>0</v>
      </c>
      <c r="AC90" s="102">
        <f t="shared" si="24"/>
        <v>0</v>
      </c>
      <c r="AD90" s="102">
        <f t="shared" si="25"/>
        <v>0</v>
      </c>
      <c r="AE90" s="102">
        <f t="shared" si="16"/>
        <v>0</v>
      </c>
      <c r="AF90" s="129">
        <f t="shared" si="17"/>
        <v>0</v>
      </c>
    </row>
    <row r="91" spans="2:32" x14ac:dyDescent="0.25">
      <c r="B91" s="4" t="s">
        <v>188</v>
      </c>
      <c r="C91" s="70"/>
      <c r="D91" s="70"/>
      <c r="E91" s="70"/>
      <c r="F91" s="102">
        <f t="shared" si="18"/>
        <v>0</v>
      </c>
      <c r="G91" s="120"/>
      <c r="H91" s="120"/>
      <c r="I91" s="120"/>
      <c r="J91" s="120"/>
      <c r="K91" s="120"/>
      <c r="L91" s="120"/>
      <c r="M91" s="128">
        <f t="shared" si="19"/>
        <v>0</v>
      </c>
      <c r="N91" s="102">
        <f t="shared" si="15"/>
        <v>0</v>
      </c>
      <c r="O91" s="120"/>
      <c r="P91" s="120"/>
      <c r="Q91" s="120"/>
      <c r="R91" s="120"/>
      <c r="S91" s="120"/>
      <c r="T91" s="120"/>
      <c r="U91" s="128">
        <f t="shared" si="20"/>
        <v>0</v>
      </c>
      <c r="V91" s="102">
        <f t="shared" si="21"/>
        <v>0</v>
      </c>
      <c r="W91" s="21"/>
      <c r="X91" s="21"/>
      <c r="Y91" s="21"/>
      <c r="Z91" s="21"/>
      <c r="AA91" s="102">
        <f t="shared" si="22"/>
        <v>0</v>
      </c>
      <c r="AB91" s="102">
        <f t="shared" si="23"/>
        <v>0</v>
      </c>
      <c r="AC91" s="102">
        <f t="shared" si="24"/>
        <v>0</v>
      </c>
      <c r="AD91" s="102">
        <f t="shared" si="25"/>
        <v>0</v>
      </c>
      <c r="AE91" s="102">
        <f t="shared" si="16"/>
        <v>0</v>
      </c>
      <c r="AF91" s="129">
        <f t="shared" si="17"/>
        <v>0</v>
      </c>
    </row>
    <row r="92" spans="2:32" x14ac:dyDescent="0.25">
      <c r="B92" s="4" t="s">
        <v>188</v>
      </c>
      <c r="C92" s="70"/>
      <c r="D92" s="70"/>
      <c r="E92" s="70"/>
      <c r="F92" s="102">
        <f t="shared" si="18"/>
        <v>0</v>
      </c>
      <c r="G92" s="120"/>
      <c r="H92" s="120"/>
      <c r="I92" s="120"/>
      <c r="J92" s="120"/>
      <c r="K92" s="120"/>
      <c r="L92" s="120"/>
      <c r="M92" s="128">
        <f t="shared" si="19"/>
        <v>0</v>
      </c>
      <c r="N92" s="102">
        <f t="shared" si="15"/>
        <v>0</v>
      </c>
      <c r="O92" s="120"/>
      <c r="P92" s="120"/>
      <c r="Q92" s="120"/>
      <c r="R92" s="120"/>
      <c r="S92" s="120"/>
      <c r="T92" s="120"/>
      <c r="U92" s="128">
        <f t="shared" si="20"/>
        <v>0</v>
      </c>
      <c r="V92" s="102">
        <f t="shared" si="21"/>
        <v>0</v>
      </c>
      <c r="W92" s="21"/>
      <c r="X92" s="21"/>
      <c r="Y92" s="21"/>
      <c r="Z92" s="21"/>
      <c r="AA92" s="102">
        <f t="shared" si="22"/>
        <v>0</v>
      </c>
      <c r="AB92" s="102">
        <f t="shared" si="23"/>
        <v>0</v>
      </c>
      <c r="AC92" s="102">
        <f t="shared" si="24"/>
        <v>0</v>
      </c>
      <c r="AD92" s="102">
        <f t="shared" si="25"/>
        <v>0</v>
      </c>
      <c r="AE92" s="102">
        <f t="shared" si="16"/>
        <v>0</v>
      </c>
      <c r="AF92" s="129">
        <f t="shared" si="17"/>
        <v>0</v>
      </c>
    </row>
    <row r="93" spans="2:32" x14ac:dyDescent="0.25">
      <c r="B93" s="4" t="s">
        <v>188</v>
      </c>
      <c r="C93" s="70"/>
      <c r="D93" s="70"/>
      <c r="E93" s="70"/>
      <c r="F93" s="102">
        <f t="shared" si="18"/>
        <v>0</v>
      </c>
      <c r="G93" s="120"/>
      <c r="H93" s="120"/>
      <c r="I93" s="120"/>
      <c r="J93" s="120"/>
      <c r="K93" s="120"/>
      <c r="L93" s="120"/>
      <c r="M93" s="128">
        <f t="shared" si="19"/>
        <v>0</v>
      </c>
      <c r="N93" s="102">
        <f t="shared" si="15"/>
        <v>0</v>
      </c>
      <c r="O93" s="120"/>
      <c r="P93" s="120"/>
      <c r="Q93" s="120"/>
      <c r="R93" s="120"/>
      <c r="S93" s="120"/>
      <c r="T93" s="120"/>
      <c r="U93" s="128">
        <f t="shared" si="20"/>
        <v>0</v>
      </c>
      <c r="V93" s="102">
        <f t="shared" si="21"/>
        <v>0</v>
      </c>
      <c r="W93" s="21"/>
      <c r="X93" s="21"/>
      <c r="Y93" s="21"/>
      <c r="Z93" s="21"/>
      <c r="AA93" s="102">
        <f t="shared" si="22"/>
        <v>0</v>
      </c>
      <c r="AB93" s="102">
        <f t="shared" si="23"/>
        <v>0</v>
      </c>
      <c r="AC93" s="102">
        <f t="shared" si="24"/>
        <v>0</v>
      </c>
      <c r="AD93" s="102">
        <f t="shared" si="25"/>
        <v>0</v>
      </c>
      <c r="AE93" s="102">
        <f t="shared" si="16"/>
        <v>0</v>
      </c>
      <c r="AF93" s="129">
        <f t="shared" si="17"/>
        <v>0</v>
      </c>
    </row>
    <row r="94" spans="2:32" x14ac:dyDescent="0.25">
      <c r="B94" s="4" t="s">
        <v>188</v>
      </c>
      <c r="C94" s="70"/>
      <c r="D94" s="70"/>
      <c r="E94" s="70"/>
      <c r="F94" s="102">
        <f t="shared" si="18"/>
        <v>0</v>
      </c>
      <c r="G94" s="120"/>
      <c r="H94" s="120"/>
      <c r="I94" s="120"/>
      <c r="J94" s="120"/>
      <c r="K94" s="120"/>
      <c r="L94" s="120"/>
      <c r="M94" s="128">
        <f t="shared" si="19"/>
        <v>0</v>
      </c>
      <c r="N94" s="102">
        <f t="shared" si="15"/>
        <v>0</v>
      </c>
      <c r="O94" s="120"/>
      <c r="P94" s="120"/>
      <c r="Q94" s="120"/>
      <c r="R94" s="120"/>
      <c r="S94" s="120"/>
      <c r="T94" s="120"/>
      <c r="U94" s="128">
        <f t="shared" si="20"/>
        <v>0</v>
      </c>
      <c r="V94" s="102">
        <f t="shared" si="21"/>
        <v>0</v>
      </c>
      <c r="W94" s="21"/>
      <c r="X94" s="21"/>
      <c r="Y94" s="21"/>
      <c r="Z94" s="21"/>
      <c r="AA94" s="102">
        <f t="shared" si="22"/>
        <v>0</v>
      </c>
      <c r="AB94" s="102">
        <f t="shared" si="23"/>
        <v>0</v>
      </c>
      <c r="AC94" s="102">
        <f t="shared" si="24"/>
        <v>0</v>
      </c>
      <c r="AD94" s="102">
        <f t="shared" si="25"/>
        <v>0</v>
      </c>
      <c r="AE94" s="102">
        <f t="shared" si="16"/>
        <v>0</v>
      </c>
      <c r="AF94" s="129">
        <f t="shared" si="17"/>
        <v>0</v>
      </c>
    </row>
    <row r="95" spans="2:32" x14ac:dyDescent="0.25">
      <c r="B95" s="4" t="s">
        <v>188</v>
      </c>
      <c r="C95" s="70"/>
      <c r="D95" s="70"/>
      <c r="E95" s="70"/>
      <c r="F95" s="102">
        <f t="shared" si="18"/>
        <v>0</v>
      </c>
      <c r="G95" s="120"/>
      <c r="H95" s="120"/>
      <c r="I95" s="120"/>
      <c r="J95" s="120"/>
      <c r="K95" s="120"/>
      <c r="L95" s="120"/>
      <c r="M95" s="128">
        <f t="shared" si="19"/>
        <v>0</v>
      </c>
      <c r="N95" s="102">
        <f t="shared" si="15"/>
        <v>0</v>
      </c>
      <c r="O95" s="120"/>
      <c r="P95" s="120"/>
      <c r="Q95" s="120"/>
      <c r="R95" s="120"/>
      <c r="S95" s="120"/>
      <c r="T95" s="120"/>
      <c r="U95" s="128">
        <f t="shared" si="20"/>
        <v>0</v>
      </c>
      <c r="V95" s="102">
        <f t="shared" si="21"/>
        <v>0</v>
      </c>
      <c r="W95" s="21"/>
      <c r="X95" s="21"/>
      <c r="Y95" s="21"/>
      <c r="Z95" s="21"/>
      <c r="AA95" s="102">
        <f t="shared" si="22"/>
        <v>0</v>
      </c>
      <c r="AB95" s="102">
        <f t="shared" si="23"/>
        <v>0</v>
      </c>
      <c r="AC95" s="102">
        <f t="shared" si="24"/>
        <v>0</v>
      </c>
      <c r="AD95" s="102">
        <f t="shared" si="25"/>
        <v>0</v>
      </c>
      <c r="AE95" s="102">
        <f t="shared" si="16"/>
        <v>0</v>
      </c>
      <c r="AF95" s="129">
        <f t="shared" si="17"/>
        <v>0</v>
      </c>
    </row>
    <row r="96" spans="2:32" x14ac:dyDescent="0.25">
      <c r="B96" s="4" t="s">
        <v>188</v>
      </c>
      <c r="C96" s="70"/>
      <c r="D96" s="70"/>
      <c r="E96" s="70"/>
      <c r="F96" s="102">
        <f t="shared" si="18"/>
        <v>0</v>
      </c>
      <c r="G96" s="120"/>
      <c r="H96" s="120"/>
      <c r="I96" s="120"/>
      <c r="J96" s="120"/>
      <c r="K96" s="120"/>
      <c r="L96" s="120"/>
      <c r="M96" s="128">
        <f t="shared" si="19"/>
        <v>0</v>
      </c>
      <c r="N96" s="102">
        <f t="shared" si="15"/>
        <v>0</v>
      </c>
      <c r="O96" s="120"/>
      <c r="P96" s="120"/>
      <c r="Q96" s="120"/>
      <c r="R96" s="120"/>
      <c r="S96" s="120"/>
      <c r="T96" s="120"/>
      <c r="U96" s="128">
        <f t="shared" si="20"/>
        <v>0</v>
      </c>
      <c r="V96" s="102">
        <f t="shared" si="21"/>
        <v>0</v>
      </c>
      <c r="W96" s="21"/>
      <c r="X96" s="21"/>
      <c r="Y96" s="21"/>
      <c r="Z96" s="21"/>
      <c r="AA96" s="102">
        <f t="shared" si="22"/>
        <v>0</v>
      </c>
      <c r="AB96" s="102">
        <f t="shared" si="23"/>
        <v>0</v>
      </c>
      <c r="AC96" s="102">
        <f t="shared" si="24"/>
        <v>0</v>
      </c>
      <c r="AD96" s="102">
        <f t="shared" si="25"/>
        <v>0</v>
      </c>
      <c r="AE96" s="102">
        <f t="shared" si="16"/>
        <v>0</v>
      </c>
      <c r="AF96" s="129">
        <f t="shared" si="17"/>
        <v>0</v>
      </c>
    </row>
    <row r="97" spans="2:32" x14ac:dyDescent="0.25">
      <c r="B97" s="4" t="s">
        <v>188</v>
      </c>
      <c r="C97" s="70"/>
      <c r="D97" s="70"/>
      <c r="E97" s="70"/>
      <c r="F97" s="102">
        <f t="shared" si="18"/>
        <v>0</v>
      </c>
      <c r="G97" s="120"/>
      <c r="H97" s="120"/>
      <c r="I97" s="120"/>
      <c r="J97" s="120"/>
      <c r="K97" s="120"/>
      <c r="L97" s="120"/>
      <c r="M97" s="128">
        <f t="shared" si="19"/>
        <v>0</v>
      </c>
      <c r="N97" s="102">
        <f t="shared" si="15"/>
        <v>0</v>
      </c>
      <c r="O97" s="120"/>
      <c r="P97" s="120"/>
      <c r="Q97" s="120"/>
      <c r="R97" s="120"/>
      <c r="S97" s="120"/>
      <c r="T97" s="120"/>
      <c r="U97" s="128">
        <f t="shared" si="20"/>
        <v>0</v>
      </c>
      <c r="V97" s="102">
        <f t="shared" si="21"/>
        <v>0</v>
      </c>
      <c r="W97" s="21"/>
      <c r="X97" s="21"/>
      <c r="Y97" s="21"/>
      <c r="Z97" s="21"/>
      <c r="AA97" s="102">
        <f t="shared" si="22"/>
        <v>0</v>
      </c>
      <c r="AB97" s="102">
        <f t="shared" si="23"/>
        <v>0</v>
      </c>
      <c r="AC97" s="102">
        <f t="shared" si="24"/>
        <v>0</v>
      </c>
      <c r="AD97" s="102">
        <f t="shared" si="25"/>
        <v>0</v>
      </c>
      <c r="AE97" s="102">
        <f t="shared" si="16"/>
        <v>0</v>
      </c>
      <c r="AF97" s="129">
        <f t="shared" si="17"/>
        <v>0</v>
      </c>
    </row>
    <row r="98" spans="2:32" x14ac:dyDescent="0.25">
      <c r="B98" s="4" t="s">
        <v>188</v>
      </c>
      <c r="C98" s="70"/>
      <c r="D98" s="70"/>
      <c r="E98" s="70"/>
      <c r="F98" s="102">
        <f t="shared" si="18"/>
        <v>0</v>
      </c>
      <c r="G98" s="120"/>
      <c r="H98" s="120"/>
      <c r="I98" s="120"/>
      <c r="J98" s="120"/>
      <c r="K98" s="120"/>
      <c r="L98" s="120"/>
      <c r="M98" s="128">
        <f t="shared" si="19"/>
        <v>0</v>
      </c>
      <c r="N98" s="102">
        <f t="shared" si="15"/>
        <v>0</v>
      </c>
      <c r="O98" s="120"/>
      <c r="P98" s="120"/>
      <c r="Q98" s="120"/>
      <c r="R98" s="120"/>
      <c r="S98" s="120"/>
      <c r="T98" s="120"/>
      <c r="U98" s="128">
        <f t="shared" si="20"/>
        <v>0</v>
      </c>
      <c r="V98" s="102">
        <f t="shared" si="21"/>
        <v>0</v>
      </c>
      <c r="W98" s="21"/>
      <c r="X98" s="21"/>
      <c r="Y98" s="21"/>
      <c r="Z98" s="21"/>
      <c r="AA98" s="102">
        <f t="shared" si="22"/>
        <v>0</v>
      </c>
      <c r="AB98" s="102">
        <f t="shared" si="23"/>
        <v>0</v>
      </c>
      <c r="AC98" s="102">
        <f t="shared" si="24"/>
        <v>0</v>
      </c>
      <c r="AD98" s="102">
        <f t="shared" si="25"/>
        <v>0</v>
      </c>
      <c r="AE98" s="102">
        <f t="shared" si="16"/>
        <v>0</v>
      </c>
      <c r="AF98" s="129">
        <f t="shared" si="17"/>
        <v>0</v>
      </c>
    </row>
    <row r="99" spans="2:32" x14ac:dyDescent="0.25">
      <c r="B99" s="4" t="s">
        <v>188</v>
      </c>
      <c r="C99" s="70"/>
      <c r="D99" s="70"/>
      <c r="E99" s="70"/>
      <c r="F99" s="102">
        <f t="shared" si="18"/>
        <v>0</v>
      </c>
      <c r="G99" s="120"/>
      <c r="H99" s="120"/>
      <c r="I99" s="120"/>
      <c r="J99" s="120"/>
      <c r="K99" s="120"/>
      <c r="L99" s="120"/>
      <c r="M99" s="128">
        <f t="shared" si="19"/>
        <v>0</v>
      </c>
      <c r="N99" s="102">
        <f t="shared" si="15"/>
        <v>0</v>
      </c>
      <c r="O99" s="120"/>
      <c r="P99" s="120"/>
      <c r="Q99" s="120"/>
      <c r="R99" s="120"/>
      <c r="S99" s="120"/>
      <c r="T99" s="120"/>
      <c r="U99" s="128">
        <f t="shared" si="20"/>
        <v>0</v>
      </c>
      <c r="V99" s="102">
        <f t="shared" si="21"/>
        <v>0</v>
      </c>
      <c r="W99" s="21"/>
      <c r="X99" s="21"/>
      <c r="Y99" s="21"/>
      <c r="Z99" s="21"/>
      <c r="AA99" s="102">
        <f t="shared" si="22"/>
        <v>0</v>
      </c>
      <c r="AB99" s="102">
        <f t="shared" si="23"/>
        <v>0</v>
      </c>
      <c r="AC99" s="102">
        <f t="shared" si="24"/>
        <v>0</v>
      </c>
      <c r="AD99" s="102">
        <f t="shared" si="25"/>
        <v>0</v>
      </c>
      <c r="AE99" s="102">
        <f t="shared" si="16"/>
        <v>0</v>
      </c>
      <c r="AF99" s="129">
        <f t="shared" si="17"/>
        <v>0</v>
      </c>
    </row>
    <row r="100" spans="2:32" x14ac:dyDescent="0.25">
      <c r="B100" s="4" t="s">
        <v>188</v>
      </c>
      <c r="C100" s="70"/>
      <c r="D100" s="70"/>
      <c r="E100" s="70"/>
      <c r="F100" s="102">
        <f t="shared" si="18"/>
        <v>0</v>
      </c>
      <c r="G100" s="120"/>
      <c r="H100" s="120"/>
      <c r="I100" s="120"/>
      <c r="J100" s="120"/>
      <c r="K100" s="120"/>
      <c r="L100" s="120"/>
      <c r="M100" s="128">
        <f t="shared" si="19"/>
        <v>0</v>
      </c>
      <c r="N100" s="102">
        <f t="shared" si="15"/>
        <v>0</v>
      </c>
      <c r="O100" s="120"/>
      <c r="P100" s="120"/>
      <c r="Q100" s="120"/>
      <c r="R100" s="120"/>
      <c r="S100" s="120"/>
      <c r="T100" s="120"/>
      <c r="U100" s="128">
        <f t="shared" si="20"/>
        <v>0</v>
      </c>
      <c r="V100" s="102">
        <f t="shared" si="21"/>
        <v>0</v>
      </c>
      <c r="W100" s="21"/>
      <c r="X100" s="21"/>
      <c r="Y100" s="21"/>
      <c r="Z100" s="21"/>
      <c r="AA100" s="102">
        <f t="shared" si="22"/>
        <v>0</v>
      </c>
      <c r="AB100" s="102">
        <f t="shared" si="23"/>
        <v>0</v>
      </c>
      <c r="AC100" s="102">
        <f t="shared" si="24"/>
        <v>0</v>
      </c>
      <c r="AD100" s="102">
        <f t="shared" si="25"/>
        <v>0</v>
      </c>
      <c r="AE100" s="102">
        <f t="shared" si="16"/>
        <v>0</v>
      </c>
      <c r="AF100" s="129">
        <f t="shared" si="17"/>
        <v>0</v>
      </c>
    </row>
    <row r="101" spans="2:32" x14ac:dyDescent="0.25">
      <c r="B101" s="4" t="s">
        <v>188</v>
      </c>
      <c r="C101" s="70"/>
      <c r="D101" s="70"/>
      <c r="E101" s="70"/>
      <c r="F101" s="102">
        <f t="shared" si="18"/>
        <v>0</v>
      </c>
      <c r="G101" s="120"/>
      <c r="H101" s="120"/>
      <c r="I101" s="120"/>
      <c r="J101" s="120"/>
      <c r="K101" s="120"/>
      <c r="L101" s="120"/>
      <c r="M101" s="128">
        <f t="shared" si="19"/>
        <v>0</v>
      </c>
      <c r="N101" s="102">
        <f t="shared" ref="N101:N132" si="26">M101*$N$2</f>
        <v>0</v>
      </c>
      <c r="O101" s="120"/>
      <c r="P101" s="120"/>
      <c r="Q101" s="120"/>
      <c r="R101" s="120"/>
      <c r="S101" s="120"/>
      <c r="T101" s="120"/>
      <c r="U101" s="128">
        <f t="shared" si="20"/>
        <v>0</v>
      </c>
      <c r="V101" s="102">
        <f t="shared" si="21"/>
        <v>0</v>
      </c>
      <c r="W101" s="21"/>
      <c r="X101" s="21"/>
      <c r="Y101" s="21"/>
      <c r="Z101" s="21"/>
      <c r="AA101" s="102">
        <f t="shared" si="22"/>
        <v>0</v>
      </c>
      <c r="AB101" s="102">
        <f t="shared" si="23"/>
        <v>0</v>
      </c>
      <c r="AC101" s="102">
        <f t="shared" si="24"/>
        <v>0</v>
      </c>
      <c r="AD101" s="102">
        <f t="shared" si="25"/>
        <v>0</v>
      </c>
      <c r="AE101" s="102">
        <f t="shared" ref="AE101:AE132" si="27">SUMIF($4:$4,$N$4,101:101)*$AG$2*SUM(W101:Z101)*0.25</f>
        <v>0</v>
      </c>
      <c r="AF101" s="129">
        <f t="shared" ref="AF101:AF132" si="28">+F101*AE101</f>
        <v>0</v>
      </c>
    </row>
    <row r="102" spans="2:32" x14ac:dyDescent="0.25">
      <c r="B102" s="4" t="s">
        <v>188</v>
      </c>
      <c r="C102" s="70"/>
      <c r="D102" s="70"/>
      <c r="E102" s="70"/>
      <c r="F102" s="102">
        <f t="shared" si="18"/>
        <v>0</v>
      </c>
      <c r="G102" s="120"/>
      <c r="H102" s="120"/>
      <c r="I102" s="120"/>
      <c r="J102" s="120"/>
      <c r="K102" s="120"/>
      <c r="L102" s="120"/>
      <c r="M102" s="128">
        <f t="shared" si="19"/>
        <v>0</v>
      </c>
      <c r="N102" s="102">
        <f t="shared" si="26"/>
        <v>0</v>
      </c>
      <c r="O102" s="120"/>
      <c r="P102" s="120"/>
      <c r="Q102" s="120"/>
      <c r="R102" s="120"/>
      <c r="S102" s="120"/>
      <c r="T102" s="120"/>
      <c r="U102" s="128">
        <f t="shared" si="20"/>
        <v>0</v>
      </c>
      <c r="V102" s="102">
        <f t="shared" si="21"/>
        <v>0</v>
      </c>
      <c r="W102" s="21"/>
      <c r="X102" s="21"/>
      <c r="Y102" s="21"/>
      <c r="Z102" s="21"/>
      <c r="AA102" s="102">
        <f t="shared" si="22"/>
        <v>0</v>
      </c>
      <c r="AB102" s="102">
        <f t="shared" si="23"/>
        <v>0</v>
      </c>
      <c r="AC102" s="102">
        <f t="shared" si="24"/>
        <v>0</v>
      </c>
      <c r="AD102" s="102">
        <f t="shared" si="25"/>
        <v>0</v>
      </c>
      <c r="AE102" s="102">
        <f t="shared" si="27"/>
        <v>0</v>
      </c>
      <c r="AF102" s="129">
        <f t="shared" si="28"/>
        <v>0</v>
      </c>
    </row>
    <row r="103" spans="2:32" x14ac:dyDescent="0.25">
      <c r="B103" s="4" t="s">
        <v>188</v>
      </c>
      <c r="C103" s="70"/>
      <c r="D103" s="70"/>
      <c r="E103" s="70"/>
      <c r="F103" s="102">
        <f t="shared" si="18"/>
        <v>0</v>
      </c>
      <c r="G103" s="120"/>
      <c r="H103" s="120"/>
      <c r="I103" s="120"/>
      <c r="J103" s="120"/>
      <c r="K103" s="120"/>
      <c r="L103" s="120"/>
      <c r="M103" s="128">
        <f t="shared" si="19"/>
        <v>0</v>
      </c>
      <c r="N103" s="102">
        <f t="shared" si="26"/>
        <v>0</v>
      </c>
      <c r="O103" s="120"/>
      <c r="P103" s="120"/>
      <c r="Q103" s="120"/>
      <c r="R103" s="120"/>
      <c r="S103" s="120"/>
      <c r="T103" s="120"/>
      <c r="U103" s="128">
        <f t="shared" si="20"/>
        <v>0</v>
      </c>
      <c r="V103" s="102">
        <f t="shared" si="21"/>
        <v>0</v>
      </c>
      <c r="W103" s="21"/>
      <c r="X103" s="21"/>
      <c r="Y103" s="21"/>
      <c r="Z103" s="21"/>
      <c r="AA103" s="102">
        <f t="shared" si="22"/>
        <v>0</v>
      </c>
      <c r="AB103" s="102">
        <f t="shared" si="23"/>
        <v>0</v>
      </c>
      <c r="AC103" s="102">
        <f t="shared" si="24"/>
        <v>0</v>
      </c>
      <c r="AD103" s="102">
        <f t="shared" si="25"/>
        <v>0</v>
      </c>
      <c r="AE103" s="102">
        <f t="shared" si="27"/>
        <v>0</v>
      </c>
      <c r="AF103" s="129">
        <f t="shared" si="28"/>
        <v>0</v>
      </c>
    </row>
    <row r="104" spans="2:32" x14ac:dyDescent="0.25">
      <c r="B104" s="4" t="s">
        <v>188</v>
      </c>
      <c r="C104" s="70"/>
      <c r="D104" s="70"/>
      <c r="E104" s="70"/>
      <c r="F104" s="102">
        <f t="shared" si="18"/>
        <v>0</v>
      </c>
      <c r="G104" s="120"/>
      <c r="H104" s="120"/>
      <c r="I104" s="120"/>
      <c r="J104" s="120"/>
      <c r="K104" s="120"/>
      <c r="L104" s="120"/>
      <c r="M104" s="128">
        <f t="shared" si="19"/>
        <v>0</v>
      </c>
      <c r="N104" s="102">
        <f t="shared" si="26"/>
        <v>0</v>
      </c>
      <c r="O104" s="120"/>
      <c r="P104" s="120"/>
      <c r="Q104" s="120"/>
      <c r="R104" s="120"/>
      <c r="S104" s="120"/>
      <c r="T104" s="120"/>
      <c r="U104" s="128">
        <f t="shared" si="20"/>
        <v>0</v>
      </c>
      <c r="V104" s="102">
        <f t="shared" si="21"/>
        <v>0</v>
      </c>
      <c r="W104" s="21"/>
      <c r="X104" s="21"/>
      <c r="Y104" s="21"/>
      <c r="Z104" s="21"/>
      <c r="AA104" s="102">
        <f t="shared" si="22"/>
        <v>0</v>
      </c>
      <c r="AB104" s="102">
        <f t="shared" si="23"/>
        <v>0</v>
      </c>
      <c r="AC104" s="102">
        <f t="shared" si="24"/>
        <v>0</v>
      </c>
      <c r="AD104" s="102">
        <f t="shared" si="25"/>
        <v>0</v>
      </c>
      <c r="AE104" s="102">
        <f t="shared" si="27"/>
        <v>0</v>
      </c>
      <c r="AF104" s="129">
        <f t="shared" si="28"/>
        <v>0</v>
      </c>
    </row>
    <row r="105" spans="2:32" x14ac:dyDescent="0.25">
      <c r="B105" s="4" t="s">
        <v>188</v>
      </c>
      <c r="C105" s="70"/>
      <c r="D105" s="70"/>
      <c r="E105" s="70"/>
      <c r="F105" s="102">
        <f t="shared" si="18"/>
        <v>0</v>
      </c>
      <c r="G105" s="120"/>
      <c r="H105" s="120"/>
      <c r="I105" s="120"/>
      <c r="J105" s="120"/>
      <c r="K105" s="120"/>
      <c r="L105" s="120"/>
      <c r="M105" s="128">
        <f t="shared" si="19"/>
        <v>0</v>
      </c>
      <c r="N105" s="102">
        <f t="shared" si="26"/>
        <v>0</v>
      </c>
      <c r="O105" s="120"/>
      <c r="P105" s="120"/>
      <c r="Q105" s="120"/>
      <c r="R105" s="120"/>
      <c r="S105" s="120"/>
      <c r="T105" s="120"/>
      <c r="U105" s="128">
        <f t="shared" si="20"/>
        <v>0</v>
      </c>
      <c r="V105" s="102">
        <f t="shared" si="21"/>
        <v>0</v>
      </c>
      <c r="W105" s="21"/>
      <c r="X105" s="21"/>
      <c r="Y105" s="21"/>
      <c r="Z105" s="21"/>
      <c r="AA105" s="102">
        <f t="shared" si="22"/>
        <v>0</v>
      </c>
      <c r="AB105" s="102">
        <f t="shared" si="23"/>
        <v>0</v>
      </c>
      <c r="AC105" s="102">
        <f t="shared" si="24"/>
        <v>0</v>
      </c>
      <c r="AD105" s="102">
        <f t="shared" si="25"/>
        <v>0</v>
      </c>
      <c r="AE105" s="102">
        <f t="shared" si="27"/>
        <v>0</v>
      </c>
      <c r="AF105" s="129">
        <f t="shared" si="28"/>
        <v>0</v>
      </c>
    </row>
    <row r="106" spans="2:32" x14ac:dyDescent="0.25">
      <c r="B106" s="4" t="s">
        <v>188</v>
      </c>
      <c r="C106" s="70"/>
      <c r="D106" s="70"/>
      <c r="E106" s="70"/>
      <c r="F106" s="102">
        <f t="shared" si="18"/>
        <v>0</v>
      </c>
      <c r="G106" s="120"/>
      <c r="H106" s="120"/>
      <c r="I106" s="120"/>
      <c r="J106" s="120"/>
      <c r="K106" s="120"/>
      <c r="L106" s="120"/>
      <c r="M106" s="128">
        <f t="shared" si="19"/>
        <v>0</v>
      </c>
      <c r="N106" s="102">
        <f t="shared" si="26"/>
        <v>0</v>
      </c>
      <c r="O106" s="120"/>
      <c r="P106" s="120"/>
      <c r="Q106" s="120"/>
      <c r="R106" s="120"/>
      <c r="S106" s="120"/>
      <c r="T106" s="120"/>
      <c r="U106" s="128">
        <f t="shared" si="20"/>
        <v>0</v>
      </c>
      <c r="V106" s="102">
        <f t="shared" si="21"/>
        <v>0</v>
      </c>
      <c r="W106" s="21"/>
      <c r="X106" s="21"/>
      <c r="Y106" s="21"/>
      <c r="Z106" s="21"/>
      <c r="AA106" s="102">
        <f t="shared" si="22"/>
        <v>0</v>
      </c>
      <c r="AB106" s="102">
        <f t="shared" si="23"/>
        <v>0</v>
      </c>
      <c r="AC106" s="102">
        <f t="shared" si="24"/>
        <v>0</v>
      </c>
      <c r="AD106" s="102">
        <f t="shared" si="25"/>
        <v>0</v>
      </c>
      <c r="AE106" s="102">
        <f t="shared" si="27"/>
        <v>0</v>
      </c>
      <c r="AF106" s="129">
        <f t="shared" si="28"/>
        <v>0</v>
      </c>
    </row>
    <row r="107" spans="2:32" x14ac:dyDescent="0.25">
      <c r="B107" s="4" t="s">
        <v>188</v>
      </c>
      <c r="C107" s="70"/>
      <c r="D107" s="70"/>
      <c r="E107" s="70"/>
      <c r="F107" s="102">
        <f t="shared" si="18"/>
        <v>0</v>
      </c>
      <c r="G107" s="120"/>
      <c r="H107" s="120"/>
      <c r="I107" s="120"/>
      <c r="J107" s="120"/>
      <c r="K107" s="120"/>
      <c r="L107" s="120"/>
      <c r="M107" s="128">
        <f t="shared" si="19"/>
        <v>0</v>
      </c>
      <c r="N107" s="102">
        <f t="shared" si="26"/>
        <v>0</v>
      </c>
      <c r="O107" s="120"/>
      <c r="P107" s="120"/>
      <c r="Q107" s="120"/>
      <c r="R107" s="120"/>
      <c r="S107" s="120"/>
      <c r="T107" s="120"/>
      <c r="U107" s="128">
        <f t="shared" si="20"/>
        <v>0</v>
      </c>
      <c r="V107" s="102">
        <f t="shared" si="21"/>
        <v>0</v>
      </c>
      <c r="W107" s="21"/>
      <c r="X107" s="21"/>
      <c r="Y107" s="21"/>
      <c r="Z107" s="21"/>
      <c r="AA107" s="102">
        <f t="shared" si="22"/>
        <v>0</v>
      </c>
      <c r="AB107" s="102">
        <f t="shared" si="23"/>
        <v>0</v>
      </c>
      <c r="AC107" s="102">
        <f t="shared" si="24"/>
        <v>0</v>
      </c>
      <c r="AD107" s="102">
        <f t="shared" si="25"/>
        <v>0</v>
      </c>
      <c r="AE107" s="102">
        <f t="shared" si="27"/>
        <v>0</v>
      </c>
      <c r="AF107" s="129">
        <f t="shared" si="28"/>
        <v>0</v>
      </c>
    </row>
    <row r="108" spans="2:32" x14ac:dyDescent="0.25">
      <c r="B108" s="4" t="s">
        <v>188</v>
      </c>
      <c r="C108" s="70"/>
      <c r="D108" s="70"/>
      <c r="E108" s="70"/>
      <c r="F108" s="102">
        <f t="shared" si="18"/>
        <v>0</v>
      </c>
      <c r="G108" s="120"/>
      <c r="H108" s="120"/>
      <c r="I108" s="120"/>
      <c r="J108" s="120"/>
      <c r="K108" s="120"/>
      <c r="L108" s="120"/>
      <c r="M108" s="128">
        <f t="shared" si="19"/>
        <v>0</v>
      </c>
      <c r="N108" s="102">
        <f t="shared" si="26"/>
        <v>0</v>
      </c>
      <c r="O108" s="120"/>
      <c r="P108" s="120"/>
      <c r="Q108" s="120"/>
      <c r="R108" s="120"/>
      <c r="S108" s="120"/>
      <c r="T108" s="120"/>
      <c r="U108" s="128">
        <f t="shared" si="20"/>
        <v>0</v>
      </c>
      <c r="V108" s="102">
        <f t="shared" si="21"/>
        <v>0</v>
      </c>
      <c r="W108" s="21"/>
      <c r="X108" s="21"/>
      <c r="Y108" s="21"/>
      <c r="Z108" s="21"/>
      <c r="AA108" s="102">
        <f t="shared" si="22"/>
        <v>0</v>
      </c>
      <c r="AB108" s="102">
        <f t="shared" si="23"/>
        <v>0</v>
      </c>
      <c r="AC108" s="102">
        <f t="shared" si="24"/>
        <v>0</v>
      </c>
      <c r="AD108" s="102">
        <f t="shared" si="25"/>
        <v>0</v>
      </c>
      <c r="AE108" s="102">
        <f t="shared" si="27"/>
        <v>0</v>
      </c>
      <c r="AF108" s="129">
        <f t="shared" si="28"/>
        <v>0</v>
      </c>
    </row>
    <row r="109" spans="2:32" x14ac:dyDescent="0.25">
      <c r="B109" s="4" t="s">
        <v>188</v>
      </c>
      <c r="C109" s="70"/>
      <c r="D109" s="70"/>
      <c r="E109" s="70"/>
      <c r="F109" s="102">
        <f t="shared" si="18"/>
        <v>0</v>
      </c>
      <c r="G109" s="120"/>
      <c r="H109" s="120"/>
      <c r="I109" s="120"/>
      <c r="J109" s="120"/>
      <c r="K109" s="120"/>
      <c r="L109" s="120"/>
      <c r="M109" s="128">
        <f t="shared" si="19"/>
        <v>0</v>
      </c>
      <c r="N109" s="102">
        <f t="shared" si="26"/>
        <v>0</v>
      </c>
      <c r="O109" s="120"/>
      <c r="P109" s="120"/>
      <c r="Q109" s="120"/>
      <c r="R109" s="120"/>
      <c r="S109" s="120"/>
      <c r="T109" s="120"/>
      <c r="U109" s="128">
        <f t="shared" si="20"/>
        <v>0</v>
      </c>
      <c r="V109" s="102">
        <f t="shared" si="21"/>
        <v>0</v>
      </c>
      <c r="W109" s="21"/>
      <c r="X109" s="21"/>
      <c r="Y109" s="21"/>
      <c r="Z109" s="21"/>
      <c r="AA109" s="102">
        <f t="shared" si="22"/>
        <v>0</v>
      </c>
      <c r="AB109" s="102">
        <f t="shared" si="23"/>
        <v>0</v>
      </c>
      <c r="AC109" s="102">
        <f t="shared" si="24"/>
        <v>0</v>
      </c>
      <c r="AD109" s="102">
        <f t="shared" si="25"/>
        <v>0</v>
      </c>
      <c r="AE109" s="102">
        <f t="shared" si="27"/>
        <v>0</v>
      </c>
      <c r="AF109" s="129">
        <f t="shared" si="28"/>
        <v>0</v>
      </c>
    </row>
    <row r="110" spans="2:32" x14ac:dyDescent="0.25">
      <c r="B110" s="4" t="s">
        <v>188</v>
      </c>
      <c r="C110" s="70"/>
      <c r="D110" s="70"/>
      <c r="E110" s="70"/>
      <c r="F110" s="102">
        <f t="shared" si="18"/>
        <v>0</v>
      </c>
      <c r="G110" s="120"/>
      <c r="H110" s="120"/>
      <c r="I110" s="120"/>
      <c r="J110" s="120"/>
      <c r="K110" s="120"/>
      <c r="L110" s="120"/>
      <c r="M110" s="128">
        <f t="shared" si="19"/>
        <v>0</v>
      </c>
      <c r="N110" s="102">
        <f t="shared" si="26"/>
        <v>0</v>
      </c>
      <c r="O110" s="120"/>
      <c r="P110" s="120"/>
      <c r="Q110" s="120"/>
      <c r="R110" s="120"/>
      <c r="S110" s="120"/>
      <c r="T110" s="120"/>
      <c r="U110" s="128">
        <f t="shared" si="20"/>
        <v>0</v>
      </c>
      <c r="V110" s="102">
        <f t="shared" si="21"/>
        <v>0</v>
      </c>
      <c r="W110" s="21"/>
      <c r="X110" s="21"/>
      <c r="Y110" s="21"/>
      <c r="Z110" s="21"/>
      <c r="AA110" s="102">
        <f t="shared" si="22"/>
        <v>0</v>
      </c>
      <c r="AB110" s="102">
        <f t="shared" si="23"/>
        <v>0</v>
      </c>
      <c r="AC110" s="102">
        <f t="shared" si="24"/>
        <v>0</v>
      </c>
      <c r="AD110" s="102">
        <f t="shared" si="25"/>
        <v>0</v>
      </c>
      <c r="AE110" s="102">
        <f t="shared" si="27"/>
        <v>0</v>
      </c>
      <c r="AF110" s="129">
        <f t="shared" si="28"/>
        <v>0</v>
      </c>
    </row>
    <row r="111" spans="2:32" x14ac:dyDescent="0.25">
      <c r="B111" s="4" t="s">
        <v>188</v>
      </c>
      <c r="C111" s="70"/>
      <c r="D111" s="70"/>
      <c r="E111" s="70"/>
      <c r="F111" s="102">
        <f t="shared" si="18"/>
        <v>0</v>
      </c>
      <c r="G111" s="120"/>
      <c r="H111" s="120"/>
      <c r="I111" s="120"/>
      <c r="J111" s="120"/>
      <c r="K111" s="120"/>
      <c r="L111" s="120"/>
      <c r="M111" s="128">
        <f t="shared" si="19"/>
        <v>0</v>
      </c>
      <c r="N111" s="102">
        <f t="shared" si="26"/>
        <v>0</v>
      </c>
      <c r="O111" s="120"/>
      <c r="P111" s="120"/>
      <c r="Q111" s="120"/>
      <c r="R111" s="120"/>
      <c r="S111" s="120"/>
      <c r="T111" s="120"/>
      <c r="U111" s="128">
        <f t="shared" si="20"/>
        <v>0</v>
      </c>
      <c r="V111" s="102">
        <f t="shared" si="21"/>
        <v>0</v>
      </c>
      <c r="W111" s="21"/>
      <c r="X111" s="21"/>
      <c r="Y111" s="21"/>
      <c r="Z111" s="21"/>
      <c r="AA111" s="102">
        <f t="shared" si="22"/>
        <v>0</v>
      </c>
      <c r="AB111" s="102">
        <f t="shared" si="23"/>
        <v>0</v>
      </c>
      <c r="AC111" s="102">
        <f t="shared" si="24"/>
        <v>0</v>
      </c>
      <c r="AD111" s="102">
        <f t="shared" si="25"/>
        <v>0</v>
      </c>
      <c r="AE111" s="102">
        <f t="shared" si="27"/>
        <v>0</v>
      </c>
      <c r="AF111" s="129">
        <f t="shared" si="28"/>
        <v>0</v>
      </c>
    </row>
    <row r="112" spans="2:32" x14ac:dyDescent="0.25">
      <c r="B112" s="4" t="s">
        <v>188</v>
      </c>
      <c r="C112" s="70"/>
      <c r="D112" s="70"/>
      <c r="E112" s="70"/>
      <c r="F112" s="102">
        <f t="shared" si="18"/>
        <v>0</v>
      </c>
      <c r="G112" s="120"/>
      <c r="H112" s="120"/>
      <c r="I112" s="120"/>
      <c r="J112" s="120"/>
      <c r="K112" s="120"/>
      <c r="L112" s="120"/>
      <c r="M112" s="128">
        <f t="shared" si="19"/>
        <v>0</v>
      </c>
      <c r="N112" s="102">
        <f t="shared" si="26"/>
        <v>0</v>
      </c>
      <c r="O112" s="120"/>
      <c r="P112" s="120"/>
      <c r="Q112" s="120"/>
      <c r="R112" s="120"/>
      <c r="S112" s="120"/>
      <c r="T112" s="120"/>
      <c r="U112" s="128">
        <f t="shared" si="20"/>
        <v>0</v>
      </c>
      <c r="V112" s="102">
        <f t="shared" si="21"/>
        <v>0</v>
      </c>
      <c r="W112" s="21"/>
      <c r="X112" s="21"/>
      <c r="Y112" s="21"/>
      <c r="Z112" s="21"/>
      <c r="AA112" s="102">
        <f t="shared" si="22"/>
        <v>0</v>
      </c>
      <c r="AB112" s="102">
        <f t="shared" si="23"/>
        <v>0</v>
      </c>
      <c r="AC112" s="102">
        <f t="shared" si="24"/>
        <v>0</v>
      </c>
      <c r="AD112" s="102">
        <f t="shared" si="25"/>
        <v>0</v>
      </c>
      <c r="AE112" s="102">
        <f t="shared" si="27"/>
        <v>0</v>
      </c>
      <c r="AF112" s="129">
        <f t="shared" si="28"/>
        <v>0</v>
      </c>
    </row>
    <row r="113" spans="2:32" x14ac:dyDescent="0.25">
      <c r="B113" s="4" t="s">
        <v>188</v>
      </c>
      <c r="C113" s="70"/>
      <c r="D113" s="70"/>
      <c r="E113" s="70"/>
      <c r="F113" s="102">
        <f t="shared" si="18"/>
        <v>0</v>
      </c>
      <c r="G113" s="120"/>
      <c r="H113" s="120"/>
      <c r="I113" s="120"/>
      <c r="J113" s="120"/>
      <c r="K113" s="120"/>
      <c r="L113" s="120"/>
      <c r="M113" s="128">
        <f t="shared" si="19"/>
        <v>0</v>
      </c>
      <c r="N113" s="102">
        <f t="shared" si="26"/>
        <v>0</v>
      </c>
      <c r="O113" s="120"/>
      <c r="P113" s="120"/>
      <c r="Q113" s="120"/>
      <c r="R113" s="120"/>
      <c r="S113" s="120"/>
      <c r="T113" s="120"/>
      <c r="U113" s="128">
        <f t="shared" si="20"/>
        <v>0</v>
      </c>
      <c r="V113" s="102">
        <f t="shared" si="21"/>
        <v>0</v>
      </c>
      <c r="W113" s="21"/>
      <c r="X113" s="21"/>
      <c r="Y113" s="21"/>
      <c r="Z113" s="21"/>
      <c r="AA113" s="102">
        <f t="shared" si="22"/>
        <v>0</v>
      </c>
      <c r="AB113" s="102">
        <f t="shared" si="23"/>
        <v>0</v>
      </c>
      <c r="AC113" s="102">
        <f t="shared" si="24"/>
        <v>0</v>
      </c>
      <c r="AD113" s="102">
        <f t="shared" si="25"/>
        <v>0</v>
      </c>
      <c r="AE113" s="102">
        <f t="shared" si="27"/>
        <v>0</v>
      </c>
      <c r="AF113" s="129">
        <f t="shared" si="28"/>
        <v>0</v>
      </c>
    </row>
    <row r="114" spans="2:32" x14ac:dyDescent="0.25">
      <c r="B114" s="4" t="s">
        <v>188</v>
      </c>
      <c r="C114" s="70"/>
      <c r="D114" s="70"/>
      <c r="E114" s="70"/>
      <c r="F114" s="102">
        <f t="shared" si="18"/>
        <v>0</v>
      </c>
      <c r="G114" s="120"/>
      <c r="H114" s="120"/>
      <c r="I114" s="120"/>
      <c r="J114" s="120"/>
      <c r="K114" s="120"/>
      <c r="L114" s="120"/>
      <c r="M114" s="128">
        <f t="shared" si="19"/>
        <v>0</v>
      </c>
      <c r="N114" s="102">
        <f t="shared" si="26"/>
        <v>0</v>
      </c>
      <c r="O114" s="120"/>
      <c r="P114" s="120"/>
      <c r="Q114" s="120"/>
      <c r="R114" s="120"/>
      <c r="S114" s="120"/>
      <c r="T114" s="120"/>
      <c r="U114" s="128">
        <f t="shared" si="20"/>
        <v>0</v>
      </c>
      <c r="V114" s="102">
        <f t="shared" si="21"/>
        <v>0</v>
      </c>
      <c r="W114" s="21"/>
      <c r="X114" s="21"/>
      <c r="Y114" s="21"/>
      <c r="Z114" s="21"/>
      <c r="AA114" s="102">
        <f t="shared" si="22"/>
        <v>0</v>
      </c>
      <c r="AB114" s="102">
        <f t="shared" si="23"/>
        <v>0</v>
      </c>
      <c r="AC114" s="102">
        <f t="shared" si="24"/>
        <v>0</v>
      </c>
      <c r="AD114" s="102">
        <f t="shared" si="25"/>
        <v>0</v>
      </c>
      <c r="AE114" s="102">
        <f t="shared" si="27"/>
        <v>0</v>
      </c>
      <c r="AF114" s="129">
        <f t="shared" si="28"/>
        <v>0</v>
      </c>
    </row>
    <row r="115" spans="2:32" x14ac:dyDescent="0.25">
      <c r="B115" s="4" t="s">
        <v>188</v>
      </c>
      <c r="C115" s="70"/>
      <c r="D115" s="70"/>
      <c r="E115" s="70"/>
      <c r="F115" s="102">
        <f t="shared" si="18"/>
        <v>0</v>
      </c>
      <c r="G115" s="120"/>
      <c r="H115" s="120"/>
      <c r="I115" s="120"/>
      <c r="J115" s="120"/>
      <c r="K115" s="120"/>
      <c r="L115" s="120"/>
      <c r="M115" s="128">
        <f t="shared" si="19"/>
        <v>0</v>
      </c>
      <c r="N115" s="102">
        <f t="shared" si="26"/>
        <v>0</v>
      </c>
      <c r="O115" s="120"/>
      <c r="P115" s="120"/>
      <c r="Q115" s="120"/>
      <c r="R115" s="120"/>
      <c r="S115" s="120"/>
      <c r="T115" s="120"/>
      <c r="U115" s="128">
        <f t="shared" si="20"/>
        <v>0</v>
      </c>
      <c r="V115" s="102">
        <f t="shared" si="21"/>
        <v>0</v>
      </c>
      <c r="W115" s="21"/>
      <c r="X115" s="21"/>
      <c r="Y115" s="21"/>
      <c r="Z115" s="21"/>
      <c r="AA115" s="102">
        <f t="shared" si="22"/>
        <v>0</v>
      </c>
      <c r="AB115" s="102">
        <f t="shared" si="23"/>
        <v>0</v>
      </c>
      <c r="AC115" s="102">
        <f t="shared" si="24"/>
        <v>0</v>
      </c>
      <c r="AD115" s="102">
        <f t="shared" si="25"/>
        <v>0</v>
      </c>
      <c r="AE115" s="102">
        <f t="shared" si="27"/>
        <v>0</v>
      </c>
      <c r="AF115" s="129">
        <f t="shared" si="28"/>
        <v>0</v>
      </c>
    </row>
    <row r="116" spans="2:32" x14ac:dyDescent="0.25">
      <c r="B116" s="4" t="s">
        <v>188</v>
      </c>
      <c r="C116" s="70"/>
      <c r="D116" s="70"/>
      <c r="E116" s="70"/>
      <c r="F116" s="102">
        <f t="shared" si="18"/>
        <v>0</v>
      </c>
      <c r="G116" s="120"/>
      <c r="H116" s="120"/>
      <c r="I116" s="120"/>
      <c r="J116" s="120"/>
      <c r="K116" s="120"/>
      <c r="L116" s="120"/>
      <c r="M116" s="128">
        <f t="shared" si="19"/>
        <v>0</v>
      </c>
      <c r="N116" s="102">
        <f t="shared" si="26"/>
        <v>0</v>
      </c>
      <c r="O116" s="120"/>
      <c r="P116" s="120"/>
      <c r="Q116" s="120"/>
      <c r="R116" s="120"/>
      <c r="S116" s="120"/>
      <c r="T116" s="120"/>
      <c r="U116" s="128">
        <f t="shared" si="20"/>
        <v>0</v>
      </c>
      <c r="V116" s="102">
        <f t="shared" si="21"/>
        <v>0</v>
      </c>
      <c r="W116" s="21"/>
      <c r="X116" s="21"/>
      <c r="Y116" s="21"/>
      <c r="Z116" s="21"/>
      <c r="AA116" s="102">
        <f t="shared" si="22"/>
        <v>0</v>
      </c>
      <c r="AB116" s="102">
        <f t="shared" si="23"/>
        <v>0</v>
      </c>
      <c r="AC116" s="102">
        <f t="shared" si="24"/>
        <v>0</v>
      </c>
      <c r="AD116" s="102">
        <f t="shared" si="25"/>
        <v>0</v>
      </c>
      <c r="AE116" s="102">
        <f t="shared" si="27"/>
        <v>0</v>
      </c>
      <c r="AF116" s="129">
        <f t="shared" si="28"/>
        <v>0</v>
      </c>
    </row>
    <row r="117" spans="2:32" x14ac:dyDescent="0.25">
      <c r="B117" s="4" t="s">
        <v>188</v>
      </c>
      <c r="C117" s="70"/>
      <c r="D117" s="70"/>
      <c r="E117" s="70"/>
      <c r="F117" s="102">
        <f t="shared" si="18"/>
        <v>0</v>
      </c>
      <c r="G117" s="120"/>
      <c r="H117" s="120"/>
      <c r="I117" s="120"/>
      <c r="J117" s="120"/>
      <c r="K117" s="120"/>
      <c r="L117" s="120"/>
      <c r="M117" s="128">
        <f t="shared" si="19"/>
        <v>0</v>
      </c>
      <c r="N117" s="102">
        <f t="shared" si="26"/>
        <v>0</v>
      </c>
      <c r="O117" s="120"/>
      <c r="P117" s="120"/>
      <c r="Q117" s="120"/>
      <c r="R117" s="120"/>
      <c r="S117" s="120"/>
      <c r="T117" s="120"/>
      <c r="U117" s="128">
        <f t="shared" si="20"/>
        <v>0</v>
      </c>
      <c r="V117" s="102">
        <f t="shared" si="21"/>
        <v>0</v>
      </c>
      <c r="W117" s="21"/>
      <c r="X117" s="21"/>
      <c r="Y117" s="21"/>
      <c r="Z117" s="21"/>
      <c r="AA117" s="102">
        <f t="shared" si="22"/>
        <v>0</v>
      </c>
      <c r="AB117" s="102">
        <f t="shared" si="23"/>
        <v>0</v>
      </c>
      <c r="AC117" s="102">
        <f t="shared" si="24"/>
        <v>0</v>
      </c>
      <c r="AD117" s="102">
        <f t="shared" si="25"/>
        <v>0</v>
      </c>
      <c r="AE117" s="102">
        <f t="shared" si="27"/>
        <v>0</v>
      </c>
      <c r="AF117" s="129">
        <f t="shared" si="28"/>
        <v>0</v>
      </c>
    </row>
    <row r="118" spans="2:32" x14ac:dyDescent="0.25">
      <c r="B118" s="4" t="s">
        <v>188</v>
      </c>
      <c r="C118" s="70"/>
      <c r="D118" s="70"/>
      <c r="E118" s="70"/>
      <c r="F118" s="102">
        <f t="shared" si="18"/>
        <v>0</v>
      </c>
      <c r="G118" s="120"/>
      <c r="H118" s="120"/>
      <c r="I118" s="120"/>
      <c r="J118" s="120"/>
      <c r="K118" s="120"/>
      <c r="L118" s="120"/>
      <c r="M118" s="128">
        <f t="shared" si="19"/>
        <v>0</v>
      </c>
      <c r="N118" s="102">
        <f t="shared" si="26"/>
        <v>0</v>
      </c>
      <c r="O118" s="120"/>
      <c r="P118" s="120"/>
      <c r="Q118" s="120"/>
      <c r="R118" s="120"/>
      <c r="S118" s="120"/>
      <c r="T118" s="120"/>
      <c r="U118" s="128">
        <f t="shared" si="20"/>
        <v>0</v>
      </c>
      <c r="V118" s="102">
        <f t="shared" si="21"/>
        <v>0</v>
      </c>
      <c r="W118" s="21"/>
      <c r="X118" s="21"/>
      <c r="Y118" s="21"/>
      <c r="Z118" s="21"/>
      <c r="AA118" s="102">
        <f t="shared" si="22"/>
        <v>0</v>
      </c>
      <c r="AB118" s="102">
        <f t="shared" si="23"/>
        <v>0</v>
      </c>
      <c r="AC118" s="102">
        <f t="shared" si="24"/>
        <v>0</v>
      </c>
      <c r="AD118" s="102">
        <f t="shared" si="25"/>
        <v>0</v>
      </c>
      <c r="AE118" s="102">
        <f t="shared" si="27"/>
        <v>0</v>
      </c>
      <c r="AF118" s="129">
        <f t="shared" si="28"/>
        <v>0</v>
      </c>
    </row>
    <row r="119" spans="2:32" x14ac:dyDescent="0.25">
      <c r="B119" s="4" t="s">
        <v>188</v>
      </c>
      <c r="C119" s="70"/>
      <c r="D119" s="70"/>
      <c r="E119" s="70"/>
      <c r="F119" s="102">
        <f t="shared" si="18"/>
        <v>0</v>
      </c>
      <c r="G119" s="120"/>
      <c r="H119" s="120"/>
      <c r="I119" s="120"/>
      <c r="J119" s="120"/>
      <c r="K119" s="120"/>
      <c r="L119" s="120"/>
      <c r="M119" s="128">
        <f t="shared" si="19"/>
        <v>0</v>
      </c>
      <c r="N119" s="102">
        <f t="shared" si="26"/>
        <v>0</v>
      </c>
      <c r="O119" s="120"/>
      <c r="P119" s="120"/>
      <c r="Q119" s="120"/>
      <c r="R119" s="120"/>
      <c r="S119" s="120"/>
      <c r="T119" s="120"/>
      <c r="U119" s="128">
        <f t="shared" si="20"/>
        <v>0</v>
      </c>
      <c r="V119" s="102">
        <f t="shared" si="21"/>
        <v>0</v>
      </c>
      <c r="W119" s="21"/>
      <c r="X119" s="21"/>
      <c r="Y119" s="21"/>
      <c r="Z119" s="21"/>
      <c r="AA119" s="102">
        <f t="shared" si="22"/>
        <v>0</v>
      </c>
      <c r="AB119" s="102">
        <f t="shared" si="23"/>
        <v>0</v>
      </c>
      <c r="AC119" s="102">
        <f t="shared" si="24"/>
        <v>0</v>
      </c>
      <c r="AD119" s="102">
        <f t="shared" si="25"/>
        <v>0</v>
      </c>
      <c r="AE119" s="102">
        <f t="shared" si="27"/>
        <v>0</v>
      </c>
      <c r="AF119" s="129">
        <f t="shared" si="28"/>
        <v>0</v>
      </c>
    </row>
    <row r="120" spans="2:32" x14ac:dyDescent="0.25">
      <c r="B120" s="4" t="s">
        <v>188</v>
      </c>
      <c r="C120" s="70"/>
      <c r="D120" s="70"/>
      <c r="E120" s="70"/>
      <c r="F120" s="102">
        <f t="shared" si="18"/>
        <v>0</v>
      </c>
      <c r="G120" s="120"/>
      <c r="H120" s="120"/>
      <c r="I120" s="120"/>
      <c r="J120" s="120"/>
      <c r="K120" s="120"/>
      <c r="L120" s="120"/>
      <c r="M120" s="128">
        <f t="shared" si="19"/>
        <v>0</v>
      </c>
      <c r="N120" s="102">
        <f t="shared" si="26"/>
        <v>0</v>
      </c>
      <c r="O120" s="120"/>
      <c r="P120" s="120"/>
      <c r="Q120" s="120"/>
      <c r="R120" s="120"/>
      <c r="S120" s="120"/>
      <c r="T120" s="120"/>
      <c r="U120" s="128">
        <f t="shared" si="20"/>
        <v>0</v>
      </c>
      <c r="V120" s="102">
        <f t="shared" si="21"/>
        <v>0</v>
      </c>
      <c r="W120" s="21"/>
      <c r="X120" s="21"/>
      <c r="Y120" s="21"/>
      <c r="Z120" s="21"/>
      <c r="AA120" s="102">
        <f t="shared" si="22"/>
        <v>0</v>
      </c>
      <c r="AB120" s="102">
        <f t="shared" si="23"/>
        <v>0</v>
      </c>
      <c r="AC120" s="102">
        <f t="shared" si="24"/>
        <v>0</v>
      </c>
      <c r="AD120" s="102">
        <f t="shared" si="25"/>
        <v>0</v>
      </c>
      <c r="AE120" s="102">
        <f t="shared" si="27"/>
        <v>0</v>
      </c>
      <c r="AF120" s="129">
        <f t="shared" si="28"/>
        <v>0</v>
      </c>
    </row>
    <row r="121" spans="2:32" x14ac:dyDescent="0.25">
      <c r="B121" s="4" t="s">
        <v>188</v>
      </c>
      <c r="C121" s="70"/>
      <c r="D121" s="70"/>
      <c r="E121" s="70"/>
      <c r="F121" s="102">
        <f t="shared" si="18"/>
        <v>0</v>
      </c>
      <c r="G121" s="120"/>
      <c r="H121" s="120"/>
      <c r="I121" s="120"/>
      <c r="J121" s="120"/>
      <c r="K121" s="120"/>
      <c r="L121" s="120"/>
      <c r="M121" s="128">
        <f t="shared" si="19"/>
        <v>0</v>
      </c>
      <c r="N121" s="102">
        <f t="shared" si="26"/>
        <v>0</v>
      </c>
      <c r="O121" s="120"/>
      <c r="P121" s="120"/>
      <c r="Q121" s="120"/>
      <c r="R121" s="120"/>
      <c r="S121" s="120"/>
      <c r="T121" s="120"/>
      <c r="U121" s="128">
        <f t="shared" si="20"/>
        <v>0</v>
      </c>
      <c r="V121" s="102">
        <f t="shared" si="21"/>
        <v>0</v>
      </c>
      <c r="W121" s="21"/>
      <c r="X121" s="21"/>
      <c r="Y121" s="21"/>
      <c r="Z121" s="21"/>
      <c r="AA121" s="102">
        <f t="shared" si="22"/>
        <v>0</v>
      </c>
      <c r="AB121" s="102">
        <f t="shared" si="23"/>
        <v>0</v>
      </c>
      <c r="AC121" s="102">
        <f t="shared" si="24"/>
        <v>0</v>
      </c>
      <c r="AD121" s="102">
        <f t="shared" si="25"/>
        <v>0</v>
      </c>
      <c r="AE121" s="102">
        <f t="shared" si="27"/>
        <v>0</v>
      </c>
      <c r="AF121" s="129">
        <f t="shared" si="28"/>
        <v>0</v>
      </c>
    </row>
    <row r="122" spans="2:32" x14ac:dyDescent="0.25">
      <c r="B122" s="4" t="s">
        <v>188</v>
      </c>
      <c r="C122" s="70"/>
      <c r="D122" s="70"/>
      <c r="E122" s="70"/>
      <c r="F122" s="102">
        <f t="shared" si="18"/>
        <v>0</v>
      </c>
      <c r="G122" s="120"/>
      <c r="H122" s="120"/>
      <c r="I122" s="120"/>
      <c r="J122" s="120"/>
      <c r="K122" s="120"/>
      <c r="L122" s="120"/>
      <c r="M122" s="128">
        <f t="shared" si="19"/>
        <v>0</v>
      </c>
      <c r="N122" s="102">
        <f t="shared" si="26"/>
        <v>0</v>
      </c>
      <c r="O122" s="120"/>
      <c r="P122" s="120"/>
      <c r="Q122" s="120"/>
      <c r="R122" s="120"/>
      <c r="S122" s="120"/>
      <c r="T122" s="120"/>
      <c r="U122" s="128">
        <f t="shared" si="20"/>
        <v>0</v>
      </c>
      <c r="V122" s="102">
        <f t="shared" si="21"/>
        <v>0</v>
      </c>
      <c r="W122" s="21"/>
      <c r="X122" s="21"/>
      <c r="Y122" s="21"/>
      <c r="Z122" s="21"/>
      <c r="AA122" s="102">
        <f t="shared" si="22"/>
        <v>0</v>
      </c>
      <c r="AB122" s="102">
        <f t="shared" si="23"/>
        <v>0</v>
      </c>
      <c r="AC122" s="102">
        <f t="shared" si="24"/>
        <v>0</v>
      </c>
      <c r="AD122" s="102">
        <f t="shared" si="25"/>
        <v>0</v>
      </c>
      <c r="AE122" s="102">
        <f t="shared" si="27"/>
        <v>0</v>
      </c>
      <c r="AF122" s="129">
        <f t="shared" si="28"/>
        <v>0</v>
      </c>
    </row>
    <row r="123" spans="2:32" x14ac:dyDescent="0.25">
      <c r="B123" s="4" t="s">
        <v>188</v>
      </c>
      <c r="C123" s="70"/>
      <c r="D123" s="70"/>
      <c r="E123" s="70"/>
      <c r="F123" s="102">
        <f t="shared" si="18"/>
        <v>0</v>
      </c>
      <c r="G123" s="120"/>
      <c r="H123" s="120"/>
      <c r="I123" s="120"/>
      <c r="J123" s="120"/>
      <c r="K123" s="120"/>
      <c r="L123" s="120"/>
      <c r="M123" s="128">
        <f t="shared" si="19"/>
        <v>0</v>
      </c>
      <c r="N123" s="102">
        <f t="shared" si="26"/>
        <v>0</v>
      </c>
      <c r="O123" s="120"/>
      <c r="P123" s="120"/>
      <c r="Q123" s="120"/>
      <c r="R123" s="120"/>
      <c r="S123" s="120"/>
      <c r="T123" s="120"/>
      <c r="U123" s="128">
        <f t="shared" si="20"/>
        <v>0</v>
      </c>
      <c r="V123" s="102">
        <f t="shared" si="21"/>
        <v>0</v>
      </c>
      <c r="W123" s="21"/>
      <c r="X123" s="21"/>
      <c r="Y123" s="21"/>
      <c r="Z123" s="21"/>
      <c r="AA123" s="102">
        <f t="shared" si="22"/>
        <v>0</v>
      </c>
      <c r="AB123" s="102">
        <f t="shared" si="23"/>
        <v>0</v>
      </c>
      <c r="AC123" s="102">
        <f t="shared" si="24"/>
        <v>0</v>
      </c>
      <c r="AD123" s="102">
        <f t="shared" si="25"/>
        <v>0</v>
      </c>
      <c r="AE123" s="102">
        <f t="shared" si="27"/>
        <v>0</v>
      </c>
      <c r="AF123" s="129">
        <f t="shared" si="28"/>
        <v>0</v>
      </c>
    </row>
    <row r="124" spans="2:32" x14ac:dyDescent="0.25">
      <c r="B124" s="4" t="s">
        <v>188</v>
      </c>
      <c r="C124" s="70"/>
      <c r="D124" s="70"/>
      <c r="E124" s="70"/>
      <c r="F124" s="102">
        <f t="shared" si="18"/>
        <v>0</v>
      </c>
      <c r="G124" s="120"/>
      <c r="H124" s="120"/>
      <c r="I124" s="120"/>
      <c r="J124" s="120"/>
      <c r="K124" s="120"/>
      <c r="L124" s="120"/>
      <c r="M124" s="128">
        <f t="shared" si="19"/>
        <v>0</v>
      </c>
      <c r="N124" s="102">
        <f t="shared" si="26"/>
        <v>0</v>
      </c>
      <c r="O124" s="120"/>
      <c r="P124" s="120"/>
      <c r="Q124" s="120"/>
      <c r="R124" s="120"/>
      <c r="S124" s="120"/>
      <c r="T124" s="120"/>
      <c r="U124" s="128">
        <f t="shared" si="20"/>
        <v>0</v>
      </c>
      <c r="V124" s="102">
        <f t="shared" si="21"/>
        <v>0</v>
      </c>
      <c r="W124" s="21"/>
      <c r="X124" s="21"/>
      <c r="Y124" s="21"/>
      <c r="Z124" s="21"/>
      <c r="AA124" s="102">
        <f t="shared" si="22"/>
        <v>0</v>
      </c>
      <c r="AB124" s="102">
        <f t="shared" si="23"/>
        <v>0</v>
      </c>
      <c r="AC124" s="102">
        <f t="shared" si="24"/>
        <v>0</v>
      </c>
      <c r="AD124" s="102">
        <f t="shared" si="25"/>
        <v>0</v>
      </c>
      <c r="AE124" s="102">
        <f t="shared" si="27"/>
        <v>0</v>
      </c>
      <c r="AF124" s="129">
        <f t="shared" si="28"/>
        <v>0</v>
      </c>
    </row>
    <row r="125" spans="2:32" x14ac:dyDescent="0.25">
      <c r="B125" s="4" t="s">
        <v>188</v>
      </c>
      <c r="C125" s="70"/>
      <c r="D125" s="70"/>
      <c r="E125" s="70"/>
      <c r="F125" s="102">
        <f t="shared" si="18"/>
        <v>0</v>
      </c>
      <c r="G125" s="120"/>
      <c r="H125" s="120"/>
      <c r="I125" s="120"/>
      <c r="J125" s="120"/>
      <c r="K125" s="120"/>
      <c r="L125" s="120"/>
      <c r="M125" s="128">
        <f t="shared" si="19"/>
        <v>0</v>
      </c>
      <c r="N125" s="102">
        <f t="shared" si="26"/>
        <v>0</v>
      </c>
      <c r="O125" s="120"/>
      <c r="P125" s="120"/>
      <c r="Q125" s="120"/>
      <c r="R125" s="120"/>
      <c r="S125" s="120"/>
      <c r="T125" s="120"/>
      <c r="U125" s="128">
        <f t="shared" si="20"/>
        <v>0</v>
      </c>
      <c r="V125" s="102">
        <f t="shared" si="21"/>
        <v>0</v>
      </c>
      <c r="W125" s="21"/>
      <c r="X125" s="21"/>
      <c r="Y125" s="21"/>
      <c r="Z125" s="21"/>
      <c r="AA125" s="102">
        <f t="shared" si="22"/>
        <v>0</v>
      </c>
      <c r="AB125" s="102">
        <f t="shared" si="23"/>
        <v>0</v>
      </c>
      <c r="AC125" s="102">
        <f t="shared" si="24"/>
        <v>0</v>
      </c>
      <c r="AD125" s="102">
        <f t="shared" si="25"/>
        <v>0</v>
      </c>
      <c r="AE125" s="102">
        <f t="shared" si="27"/>
        <v>0</v>
      </c>
      <c r="AF125" s="129">
        <f t="shared" si="28"/>
        <v>0</v>
      </c>
    </row>
    <row r="126" spans="2:32" x14ac:dyDescent="0.25">
      <c r="B126" s="4" t="s">
        <v>188</v>
      </c>
      <c r="C126" s="70"/>
      <c r="D126" s="70"/>
      <c r="E126" s="70"/>
      <c r="F126" s="102">
        <f t="shared" si="18"/>
        <v>0</v>
      </c>
      <c r="G126" s="120"/>
      <c r="H126" s="120"/>
      <c r="I126" s="120"/>
      <c r="J126" s="120"/>
      <c r="K126" s="120"/>
      <c r="L126" s="120"/>
      <c r="M126" s="128">
        <f t="shared" si="19"/>
        <v>0</v>
      </c>
      <c r="N126" s="102">
        <f t="shared" si="26"/>
        <v>0</v>
      </c>
      <c r="O126" s="120"/>
      <c r="P126" s="120"/>
      <c r="Q126" s="120"/>
      <c r="R126" s="120"/>
      <c r="S126" s="120"/>
      <c r="T126" s="120"/>
      <c r="U126" s="128">
        <f t="shared" si="20"/>
        <v>0</v>
      </c>
      <c r="V126" s="102">
        <f t="shared" si="21"/>
        <v>0</v>
      </c>
      <c r="W126" s="21"/>
      <c r="X126" s="21"/>
      <c r="Y126" s="21"/>
      <c r="Z126" s="21"/>
      <c r="AA126" s="102">
        <f t="shared" si="22"/>
        <v>0</v>
      </c>
      <c r="AB126" s="102">
        <f t="shared" si="23"/>
        <v>0</v>
      </c>
      <c r="AC126" s="102">
        <f t="shared" si="24"/>
        <v>0</v>
      </c>
      <c r="AD126" s="102">
        <f t="shared" si="25"/>
        <v>0</v>
      </c>
      <c r="AE126" s="102">
        <f t="shared" si="27"/>
        <v>0</v>
      </c>
      <c r="AF126" s="129">
        <f t="shared" si="28"/>
        <v>0</v>
      </c>
    </row>
    <row r="127" spans="2:32" x14ac:dyDescent="0.25">
      <c r="B127" s="4" t="s">
        <v>188</v>
      </c>
      <c r="C127" s="70"/>
      <c r="D127" s="70"/>
      <c r="E127" s="70"/>
      <c r="F127" s="102">
        <f t="shared" si="18"/>
        <v>0</v>
      </c>
      <c r="G127" s="120"/>
      <c r="H127" s="120"/>
      <c r="I127" s="120"/>
      <c r="J127" s="120"/>
      <c r="K127" s="120"/>
      <c r="L127" s="120"/>
      <c r="M127" s="128">
        <f t="shared" si="19"/>
        <v>0</v>
      </c>
      <c r="N127" s="102">
        <f t="shared" si="26"/>
        <v>0</v>
      </c>
      <c r="O127" s="120"/>
      <c r="P127" s="120"/>
      <c r="Q127" s="120"/>
      <c r="R127" s="120"/>
      <c r="S127" s="120"/>
      <c r="T127" s="120"/>
      <c r="U127" s="128">
        <f t="shared" si="20"/>
        <v>0</v>
      </c>
      <c r="V127" s="102">
        <f t="shared" si="21"/>
        <v>0</v>
      </c>
      <c r="W127" s="21"/>
      <c r="X127" s="21"/>
      <c r="Y127" s="21"/>
      <c r="Z127" s="21"/>
      <c r="AA127" s="102">
        <f t="shared" si="22"/>
        <v>0</v>
      </c>
      <c r="AB127" s="102">
        <f t="shared" si="23"/>
        <v>0</v>
      </c>
      <c r="AC127" s="102">
        <f t="shared" si="24"/>
        <v>0</v>
      </c>
      <c r="AD127" s="102">
        <f t="shared" si="25"/>
        <v>0</v>
      </c>
      <c r="AE127" s="102">
        <f t="shared" si="27"/>
        <v>0</v>
      </c>
      <c r="AF127" s="129">
        <f t="shared" si="28"/>
        <v>0</v>
      </c>
    </row>
    <row r="128" spans="2:32" x14ac:dyDescent="0.25">
      <c r="B128" s="4" t="s">
        <v>188</v>
      </c>
      <c r="C128" s="70"/>
      <c r="D128" s="70"/>
      <c r="E128" s="70"/>
      <c r="F128" s="102">
        <f t="shared" si="18"/>
        <v>0</v>
      </c>
      <c r="G128" s="120"/>
      <c r="H128" s="120"/>
      <c r="I128" s="120"/>
      <c r="J128" s="120"/>
      <c r="K128" s="120"/>
      <c r="L128" s="120"/>
      <c r="M128" s="128">
        <f t="shared" si="19"/>
        <v>0</v>
      </c>
      <c r="N128" s="102">
        <f t="shared" si="26"/>
        <v>0</v>
      </c>
      <c r="O128" s="120"/>
      <c r="P128" s="120"/>
      <c r="Q128" s="120"/>
      <c r="R128" s="120"/>
      <c r="S128" s="120"/>
      <c r="T128" s="120"/>
      <c r="U128" s="128">
        <f t="shared" si="20"/>
        <v>0</v>
      </c>
      <c r="V128" s="102">
        <f t="shared" si="21"/>
        <v>0</v>
      </c>
      <c r="W128" s="21"/>
      <c r="X128" s="21"/>
      <c r="Y128" s="21"/>
      <c r="Z128" s="21"/>
      <c r="AA128" s="102">
        <f t="shared" si="22"/>
        <v>0</v>
      </c>
      <c r="AB128" s="102">
        <f t="shared" si="23"/>
        <v>0</v>
      </c>
      <c r="AC128" s="102">
        <f t="shared" si="24"/>
        <v>0</v>
      </c>
      <c r="AD128" s="102">
        <f t="shared" si="25"/>
        <v>0</v>
      </c>
      <c r="AE128" s="102">
        <f t="shared" si="27"/>
        <v>0</v>
      </c>
      <c r="AF128" s="129">
        <f t="shared" si="28"/>
        <v>0</v>
      </c>
    </row>
    <row r="129" spans="2:32" x14ac:dyDescent="0.25">
      <c r="B129" s="4" t="s">
        <v>188</v>
      </c>
      <c r="C129" s="70"/>
      <c r="D129" s="70"/>
      <c r="E129" s="70"/>
      <c r="F129" s="102">
        <f t="shared" si="18"/>
        <v>0</v>
      </c>
      <c r="G129" s="120"/>
      <c r="H129" s="120"/>
      <c r="I129" s="120"/>
      <c r="J129" s="120"/>
      <c r="K129" s="120"/>
      <c r="L129" s="120"/>
      <c r="M129" s="128">
        <f t="shared" si="19"/>
        <v>0</v>
      </c>
      <c r="N129" s="102">
        <f t="shared" si="26"/>
        <v>0</v>
      </c>
      <c r="O129" s="120"/>
      <c r="P129" s="120"/>
      <c r="Q129" s="120"/>
      <c r="R129" s="120"/>
      <c r="S129" s="120"/>
      <c r="T129" s="120"/>
      <c r="U129" s="128">
        <f t="shared" si="20"/>
        <v>0</v>
      </c>
      <c r="V129" s="102">
        <f t="shared" si="21"/>
        <v>0</v>
      </c>
      <c r="W129" s="21"/>
      <c r="X129" s="21"/>
      <c r="Y129" s="21"/>
      <c r="Z129" s="21"/>
      <c r="AA129" s="102">
        <f t="shared" si="22"/>
        <v>0</v>
      </c>
      <c r="AB129" s="102">
        <f t="shared" si="23"/>
        <v>0</v>
      </c>
      <c r="AC129" s="102">
        <f t="shared" si="24"/>
        <v>0</v>
      </c>
      <c r="AD129" s="102">
        <f t="shared" si="25"/>
        <v>0</v>
      </c>
      <c r="AE129" s="102">
        <f t="shared" si="27"/>
        <v>0</v>
      </c>
      <c r="AF129" s="129">
        <f t="shared" si="28"/>
        <v>0</v>
      </c>
    </row>
    <row r="130" spans="2:32" x14ac:dyDescent="0.25">
      <c r="B130" s="4" t="s">
        <v>188</v>
      </c>
      <c r="C130" s="70"/>
      <c r="D130" s="70"/>
      <c r="E130" s="70"/>
      <c r="F130" s="102">
        <f t="shared" si="18"/>
        <v>0</v>
      </c>
      <c r="G130" s="120"/>
      <c r="H130" s="120"/>
      <c r="I130" s="120"/>
      <c r="J130" s="120"/>
      <c r="K130" s="120"/>
      <c r="L130" s="120"/>
      <c r="M130" s="128">
        <f t="shared" si="19"/>
        <v>0</v>
      </c>
      <c r="N130" s="102">
        <f t="shared" si="26"/>
        <v>0</v>
      </c>
      <c r="O130" s="120"/>
      <c r="P130" s="120"/>
      <c r="Q130" s="120"/>
      <c r="R130" s="120"/>
      <c r="S130" s="120"/>
      <c r="T130" s="120"/>
      <c r="U130" s="128">
        <f t="shared" si="20"/>
        <v>0</v>
      </c>
      <c r="V130" s="102">
        <f t="shared" si="21"/>
        <v>0</v>
      </c>
      <c r="W130" s="21"/>
      <c r="X130" s="21"/>
      <c r="Y130" s="21"/>
      <c r="Z130" s="21"/>
      <c r="AA130" s="102">
        <f t="shared" si="22"/>
        <v>0</v>
      </c>
      <c r="AB130" s="102">
        <f t="shared" si="23"/>
        <v>0</v>
      </c>
      <c r="AC130" s="102">
        <f t="shared" si="24"/>
        <v>0</v>
      </c>
      <c r="AD130" s="102">
        <f t="shared" si="25"/>
        <v>0</v>
      </c>
      <c r="AE130" s="102">
        <f t="shared" si="27"/>
        <v>0</v>
      </c>
      <c r="AF130" s="129">
        <f t="shared" si="28"/>
        <v>0</v>
      </c>
    </row>
    <row r="131" spans="2:32" x14ac:dyDescent="0.25">
      <c r="B131" s="4" t="s">
        <v>188</v>
      </c>
      <c r="C131" s="70"/>
      <c r="D131" s="70"/>
      <c r="E131" s="70"/>
      <c r="F131" s="102">
        <f t="shared" si="18"/>
        <v>0</v>
      </c>
      <c r="G131" s="120"/>
      <c r="H131" s="120"/>
      <c r="I131" s="120"/>
      <c r="J131" s="120"/>
      <c r="K131" s="120"/>
      <c r="L131" s="120"/>
      <c r="M131" s="128">
        <f t="shared" si="19"/>
        <v>0</v>
      </c>
      <c r="N131" s="102">
        <f t="shared" si="26"/>
        <v>0</v>
      </c>
      <c r="O131" s="120"/>
      <c r="P131" s="120"/>
      <c r="Q131" s="120"/>
      <c r="R131" s="120"/>
      <c r="S131" s="120"/>
      <c r="T131" s="120"/>
      <c r="U131" s="128">
        <f t="shared" si="20"/>
        <v>0</v>
      </c>
      <c r="V131" s="102">
        <f t="shared" si="21"/>
        <v>0</v>
      </c>
      <c r="W131" s="21"/>
      <c r="X131" s="21"/>
      <c r="Y131" s="21"/>
      <c r="Z131" s="21"/>
      <c r="AA131" s="102">
        <f t="shared" si="22"/>
        <v>0</v>
      </c>
      <c r="AB131" s="102">
        <f t="shared" si="23"/>
        <v>0</v>
      </c>
      <c r="AC131" s="102">
        <f t="shared" si="24"/>
        <v>0</v>
      </c>
      <c r="AD131" s="102">
        <f t="shared" si="25"/>
        <v>0</v>
      </c>
      <c r="AE131" s="102">
        <f t="shared" si="27"/>
        <v>0</v>
      </c>
      <c r="AF131" s="129">
        <f t="shared" si="28"/>
        <v>0</v>
      </c>
    </row>
    <row r="132" spans="2:32" x14ac:dyDescent="0.25">
      <c r="B132" s="4" t="s">
        <v>188</v>
      </c>
      <c r="C132" s="70"/>
      <c r="D132" s="70"/>
      <c r="E132" s="70"/>
      <c r="F132" s="102">
        <f t="shared" si="18"/>
        <v>0</v>
      </c>
      <c r="G132" s="120"/>
      <c r="H132" s="120"/>
      <c r="I132" s="120"/>
      <c r="J132" s="120"/>
      <c r="K132" s="120"/>
      <c r="L132" s="120"/>
      <c r="M132" s="128">
        <f t="shared" si="19"/>
        <v>0</v>
      </c>
      <c r="N132" s="102">
        <f t="shared" si="26"/>
        <v>0</v>
      </c>
      <c r="O132" s="120"/>
      <c r="P132" s="120"/>
      <c r="Q132" s="120"/>
      <c r="R132" s="120"/>
      <c r="S132" s="120"/>
      <c r="T132" s="120"/>
      <c r="U132" s="128">
        <f t="shared" si="20"/>
        <v>0</v>
      </c>
      <c r="V132" s="102">
        <f t="shared" si="21"/>
        <v>0</v>
      </c>
      <c r="W132" s="21"/>
      <c r="X132" s="21"/>
      <c r="Y132" s="21"/>
      <c r="Z132" s="21"/>
      <c r="AA132" s="102">
        <f t="shared" si="22"/>
        <v>0</v>
      </c>
      <c r="AB132" s="102">
        <f t="shared" si="23"/>
        <v>0</v>
      </c>
      <c r="AC132" s="102">
        <f t="shared" si="24"/>
        <v>0</v>
      </c>
      <c r="AD132" s="102">
        <f t="shared" si="25"/>
        <v>0</v>
      </c>
      <c r="AE132" s="102">
        <f t="shared" si="27"/>
        <v>0</v>
      </c>
      <c r="AF132" s="129">
        <f t="shared" si="28"/>
        <v>0</v>
      </c>
    </row>
    <row r="133" spans="2:32" x14ac:dyDescent="0.25">
      <c r="B133" s="4" t="s">
        <v>188</v>
      </c>
      <c r="C133" s="70"/>
      <c r="D133" s="70"/>
      <c r="E133" s="70"/>
      <c r="F133" s="102">
        <f t="shared" si="18"/>
        <v>0</v>
      </c>
      <c r="G133" s="120"/>
      <c r="H133" s="120"/>
      <c r="I133" s="120"/>
      <c r="J133" s="120"/>
      <c r="K133" s="120"/>
      <c r="L133" s="120"/>
      <c r="M133" s="128">
        <f t="shared" si="19"/>
        <v>0</v>
      </c>
      <c r="N133" s="102">
        <f t="shared" ref="N133:N164" si="29">M133*$N$2</f>
        <v>0</v>
      </c>
      <c r="O133" s="120"/>
      <c r="P133" s="120"/>
      <c r="Q133" s="120"/>
      <c r="R133" s="120"/>
      <c r="S133" s="120"/>
      <c r="T133" s="120"/>
      <c r="U133" s="128">
        <f t="shared" si="20"/>
        <v>0</v>
      </c>
      <c r="V133" s="102">
        <f t="shared" si="21"/>
        <v>0</v>
      </c>
      <c r="W133" s="21"/>
      <c r="X133" s="21"/>
      <c r="Y133" s="21"/>
      <c r="Z133" s="21"/>
      <c r="AA133" s="102">
        <f t="shared" si="22"/>
        <v>0</v>
      </c>
      <c r="AB133" s="102">
        <f t="shared" si="23"/>
        <v>0</v>
      </c>
      <c r="AC133" s="102">
        <f t="shared" si="24"/>
        <v>0</v>
      </c>
      <c r="AD133" s="102">
        <f t="shared" si="25"/>
        <v>0</v>
      </c>
      <c r="AE133" s="102">
        <f t="shared" ref="AE133:AE164" si="30">SUMIF($4:$4,$N$4,133:133)*$AG$2*SUM(W133:Z133)*0.25</f>
        <v>0</v>
      </c>
      <c r="AF133" s="129">
        <f t="shared" ref="AF133:AF164" si="31">+F133*AE133</f>
        <v>0</v>
      </c>
    </row>
    <row r="134" spans="2:32" x14ac:dyDescent="0.25">
      <c r="B134" s="4" t="s">
        <v>188</v>
      </c>
      <c r="C134" s="70"/>
      <c r="D134" s="70"/>
      <c r="E134" s="70"/>
      <c r="F134" s="102">
        <f t="shared" ref="F134:F197" si="32">D134*E134</f>
        <v>0</v>
      </c>
      <c r="G134" s="120"/>
      <c r="H134" s="120"/>
      <c r="I134" s="120"/>
      <c r="J134" s="120"/>
      <c r="K134" s="120"/>
      <c r="L134" s="120"/>
      <c r="M134" s="128">
        <f t="shared" ref="M134:M197" si="33">-G134-I134-K134+H134+J134+L134</f>
        <v>0</v>
      </c>
      <c r="N134" s="102">
        <f t="shared" si="29"/>
        <v>0</v>
      </c>
      <c r="O134" s="120"/>
      <c r="P134" s="120"/>
      <c r="Q134" s="120"/>
      <c r="R134" s="120"/>
      <c r="S134" s="120"/>
      <c r="T134" s="120"/>
      <c r="U134" s="128">
        <f t="shared" ref="U134:U197" si="34">-O134-Q134-S134+P134+R134+T134</f>
        <v>0</v>
      </c>
      <c r="V134" s="102">
        <f t="shared" ref="V134:V197" si="35">U134*$V$2</f>
        <v>0</v>
      </c>
      <c r="W134" s="21"/>
      <c r="X134" s="21"/>
      <c r="Y134" s="21"/>
      <c r="Z134" s="21"/>
      <c r="AA134" s="102">
        <f t="shared" ref="AA134:AA197" si="36">W134*$F134</f>
        <v>0</v>
      </c>
      <c r="AB134" s="102">
        <f t="shared" ref="AB134:AB197" si="37">X134*$F134</f>
        <v>0</v>
      </c>
      <c r="AC134" s="102">
        <f t="shared" ref="AC134:AC197" si="38">Y134*$F134</f>
        <v>0</v>
      </c>
      <c r="AD134" s="102">
        <f t="shared" ref="AD134:AD197" si="39">Z134*$F134</f>
        <v>0</v>
      </c>
      <c r="AE134" s="102">
        <f t="shared" si="30"/>
        <v>0</v>
      </c>
      <c r="AF134" s="129">
        <f t="shared" si="31"/>
        <v>0</v>
      </c>
    </row>
    <row r="135" spans="2:32" x14ac:dyDescent="0.25">
      <c r="B135" s="4" t="s">
        <v>188</v>
      </c>
      <c r="C135" s="70"/>
      <c r="D135" s="70"/>
      <c r="E135" s="70"/>
      <c r="F135" s="102">
        <f t="shared" si="32"/>
        <v>0</v>
      </c>
      <c r="G135" s="120"/>
      <c r="H135" s="120"/>
      <c r="I135" s="120"/>
      <c r="J135" s="120"/>
      <c r="K135" s="120"/>
      <c r="L135" s="120"/>
      <c r="M135" s="128">
        <f t="shared" si="33"/>
        <v>0</v>
      </c>
      <c r="N135" s="102">
        <f t="shared" si="29"/>
        <v>0</v>
      </c>
      <c r="O135" s="120"/>
      <c r="P135" s="120"/>
      <c r="Q135" s="120"/>
      <c r="R135" s="120"/>
      <c r="S135" s="120"/>
      <c r="T135" s="120"/>
      <c r="U135" s="128">
        <f t="shared" si="34"/>
        <v>0</v>
      </c>
      <c r="V135" s="102">
        <f t="shared" si="35"/>
        <v>0</v>
      </c>
      <c r="W135" s="21"/>
      <c r="X135" s="21"/>
      <c r="Y135" s="21"/>
      <c r="Z135" s="21"/>
      <c r="AA135" s="102">
        <f t="shared" si="36"/>
        <v>0</v>
      </c>
      <c r="AB135" s="102">
        <f t="shared" si="37"/>
        <v>0</v>
      </c>
      <c r="AC135" s="102">
        <f t="shared" si="38"/>
        <v>0</v>
      </c>
      <c r="AD135" s="102">
        <f t="shared" si="39"/>
        <v>0</v>
      </c>
      <c r="AE135" s="102">
        <f t="shared" si="30"/>
        <v>0</v>
      </c>
      <c r="AF135" s="129">
        <f t="shared" si="31"/>
        <v>0</v>
      </c>
    </row>
    <row r="136" spans="2:32" x14ac:dyDescent="0.25">
      <c r="B136" s="4" t="s">
        <v>188</v>
      </c>
      <c r="C136" s="70"/>
      <c r="D136" s="70"/>
      <c r="E136" s="70"/>
      <c r="F136" s="102">
        <f t="shared" si="32"/>
        <v>0</v>
      </c>
      <c r="G136" s="120"/>
      <c r="H136" s="120"/>
      <c r="I136" s="120"/>
      <c r="J136" s="120"/>
      <c r="K136" s="120"/>
      <c r="L136" s="120"/>
      <c r="M136" s="128">
        <f t="shared" si="33"/>
        <v>0</v>
      </c>
      <c r="N136" s="102">
        <f t="shared" si="29"/>
        <v>0</v>
      </c>
      <c r="O136" s="120"/>
      <c r="P136" s="120"/>
      <c r="Q136" s="120"/>
      <c r="R136" s="120"/>
      <c r="S136" s="120"/>
      <c r="T136" s="120"/>
      <c r="U136" s="128">
        <f t="shared" si="34"/>
        <v>0</v>
      </c>
      <c r="V136" s="102">
        <f t="shared" si="35"/>
        <v>0</v>
      </c>
      <c r="W136" s="21"/>
      <c r="X136" s="21"/>
      <c r="Y136" s="21"/>
      <c r="Z136" s="21"/>
      <c r="AA136" s="102">
        <f t="shared" si="36"/>
        <v>0</v>
      </c>
      <c r="AB136" s="102">
        <f t="shared" si="37"/>
        <v>0</v>
      </c>
      <c r="AC136" s="102">
        <f t="shared" si="38"/>
        <v>0</v>
      </c>
      <c r="AD136" s="102">
        <f t="shared" si="39"/>
        <v>0</v>
      </c>
      <c r="AE136" s="102">
        <f t="shared" si="30"/>
        <v>0</v>
      </c>
      <c r="AF136" s="129">
        <f t="shared" si="31"/>
        <v>0</v>
      </c>
    </row>
    <row r="137" spans="2:32" x14ac:dyDescent="0.25">
      <c r="B137" s="4" t="s">
        <v>188</v>
      </c>
      <c r="C137" s="70"/>
      <c r="D137" s="70"/>
      <c r="E137" s="70"/>
      <c r="F137" s="102">
        <f t="shared" si="32"/>
        <v>0</v>
      </c>
      <c r="G137" s="120"/>
      <c r="H137" s="120"/>
      <c r="I137" s="120"/>
      <c r="J137" s="120"/>
      <c r="K137" s="120"/>
      <c r="L137" s="120"/>
      <c r="M137" s="128">
        <f t="shared" si="33"/>
        <v>0</v>
      </c>
      <c r="N137" s="102">
        <f t="shared" si="29"/>
        <v>0</v>
      </c>
      <c r="O137" s="120"/>
      <c r="P137" s="120"/>
      <c r="Q137" s="120"/>
      <c r="R137" s="120"/>
      <c r="S137" s="120"/>
      <c r="T137" s="120"/>
      <c r="U137" s="128">
        <f t="shared" si="34"/>
        <v>0</v>
      </c>
      <c r="V137" s="102">
        <f t="shared" si="35"/>
        <v>0</v>
      </c>
      <c r="W137" s="21"/>
      <c r="X137" s="21"/>
      <c r="Y137" s="21"/>
      <c r="Z137" s="21"/>
      <c r="AA137" s="102">
        <f t="shared" si="36"/>
        <v>0</v>
      </c>
      <c r="AB137" s="102">
        <f t="shared" si="37"/>
        <v>0</v>
      </c>
      <c r="AC137" s="102">
        <f t="shared" si="38"/>
        <v>0</v>
      </c>
      <c r="AD137" s="102">
        <f t="shared" si="39"/>
        <v>0</v>
      </c>
      <c r="AE137" s="102">
        <f t="shared" si="30"/>
        <v>0</v>
      </c>
      <c r="AF137" s="129">
        <f t="shared" si="31"/>
        <v>0</v>
      </c>
    </row>
    <row r="138" spans="2:32" x14ac:dyDescent="0.25">
      <c r="B138" s="4" t="s">
        <v>188</v>
      </c>
      <c r="C138" s="70"/>
      <c r="D138" s="70"/>
      <c r="E138" s="70"/>
      <c r="F138" s="102">
        <f t="shared" si="32"/>
        <v>0</v>
      </c>
      <c r="G138" s="120"/>
      <c r="H138" s="120"/>
      <c r="I138" s="120"/>
      <c r="J138" s="120"/>
      <c r="K138" s="120"/>
      <c r="L138" s="120"/>
      <c r="M138" s="128">
        <f t="shared" si="33"/>
        <v>0</v>
      </c>
      <c r="N138" s="102">
        <f t="shared" si="29"/>
        <v>0</v>
      </c>
      <c r="O138" s="120"/>
      <c r="P138" s="120"/>
      <c r="Q138" s="120"/>
      <c r="R138" s="120"/>
      <c r="S138" s="120"/>
      <c r="T138" s="120"/>
      <c r="U138" s="128">
        <f t="shared" si="34"/>
        <v>0</v>
      </c>
      <c r="V138" s="102">
        <f t="shared" si="35"/>
        <v>0</v>
      </c>
      <c r="W138" s="21"/>
      <c r="X138" s="21"/>
      <c r="Y138" s="21"/>
      <c r="Z138" s="21"/>
      <c r="AA138" s="102">
        <f t="shared" si="36"/>
        <v>0</v>
      </c>
      <c r="AB138" s="102">
        <f t="shared" si="37"/>
        <v>0</v>
      </c>
      <c r="AC138" s="102">
        <f t="shared" si="38"/>
        <v>0</v>
      </c>
      <c r="AD138" s="102">
        <f t="shared" si="39"/>
        <v>0</v>
      </c>
      <c r="AE138" s="102">
        <f t="shared" si="30"/>
        <v>0</v>
      </c>
      <c r="AF138" s="129">
        <f t="shared" si="31"/>
        <v>0</v>
      </c>
    </row>
    <row r="139" spans="2:32" x14ac:dyDescent="0.25">
      <c r="B139" s="4" t="s">
        <v>188</v>
      </c>
      <c r="C139" s="70"/>
      <c r="D139" s="70"/>
      <c r="E139" s="70"/>
      <c r="F139" s="102">
        <f t="shared" si="32"/>
        <v>0</v>
      </c>
      <c r="G139" s="120"/>
      <c r="H139" s="120"/>
      <c r="I139" s="120"/>
      <c r="J139" s="120"/>
      <c r="K139" s="120"/>
      <c r="L139" s="120"/>
      <c r="M139" s="128">
        <f t="shared" si="33"/>
        <v>0</v>
      </c>
      <c r="N139" s="102">
        <f t="shared" si="29"/>
        <v>0</v>
      </c>
      <c r="O139" s="120"/>
      <c r="P139" s="120"/>
      <c r="Q139" s="120"/>
      <c r="R139" s="120"/>
      <c r="S139" s="120"/>
      <c r="T139" s="120"/>
      <c r="U139" s="128">
        <f t="shared" si="34"/>
        <v>0</v>
      </c>
      <c r="V139" s="102">
        <f t="shared" si="35"/>
        <v>0</v>
      </c>
      <c r="W139" s="21"/>
      <c r="X139" s="21"/>
      <c r="Y139" s="21"/>
      <c r="Z139" s="21"/>
      <c r="AA139" s="102">
        <f t="shared" si="36"/>
        <v>0</v>
      </c>
      <c r="AB139" s="102">
        <f t="shared" si="37"/>
        <v>0</v>
      </c>
      <c r="AC139" s="102">
        <f t="shared" si="38"/>
        <v>0</v>
      </c>
      <c r="AD139" s="102">
        <f t="shared" si="39"/>
        <v>0</v>
      </c>
      <c r="AE139" s="102">
        <f t="shared" si="30"/>
        <v>0</v>
      </c>
      <c r="AF139" s="129">
        <f t="shared" si="31"/>
        <v>0</v>
      </c>
    </row>
    <row r="140" spans="2:32" x14ac:dyDescent="0.25">
      <c r="B140" s="4" t="s">
        <v>188</v>
      </c>
      <c r="C140" s="70"/>
      <c r="D140" s="70"/>
      <c r="E140" s="70"/>
      <c r="F140" s="102">
        <f t="shared" si="32"/>
        <v>0</v>
      </c>
      <c r="G140" s="120"/>
      <c r="H140" s="120"/>
      <c r="I140" s="120"/>
      <c r="J140" s="120"/>
      <c r="K140" s="120"/>
      <c r="L140" s="120"/>
      <c r="M140" s="128">
        <f t="shared" si="33"/>
        <v>0</v>
      </c>
      <c r="N140" s="102">
        <f t="shared" si="29"/>
        <v>0</v>
      </c>
      <c r="O140" s="120"/>
      <c r="P140" s="120"/>
      <c r="Q140" s="120"/>
      <c r="R140" s="120"/>
      <c r="S140" s="120"/>
      <c r="T140" s="120"/>
      <c r="U140" s="128">
        <f t="shared" si="34"/>
        <v>0</v>
      </c>
      <c r="V140" s="102">
        <f t="shared" si="35"/>
        <v>0</v>
      </c>
      <c r="W140" s="21"/>
      <c r="X140" s="21"/>
      <c r="Y140" s="21"/>
      <c r="Z140" s="21"/>
      <c r="AA140" s="102">
        <f t="shared" si="36"/>
        <v>0</v>
      </c>
      <c r="AB140" s="102">
        <f t="shared" si="37"/>
        <v>0</v>
      </c>
      <c r="AC140" s="102">
        <f t="shared" si="38"/>
        <v>0</v>
      </c>
      <c r="AD140" s="102">
        <f t="shared" si="39"/>
        <v>0</v>
      </c>
      <c r="AE140" s="102">
        <f t="shared" si="30"/>
        <v>0</v>
      </c>
      <c r="AF140" s="129">
        <f t="shared" si="31"/>
        <v>0</v>
      </c>
    </row>
    <row r="141" spans="2:32" x14ac:dyDescent="0.25">
      <c r="B141" s="4" t="s">
        <v>188</v>
      </c>
      <c r="C141" s="70"/>
      <c r="D141" s="70"/>
      <c r="E141" s="70"/>
      <c r="F141" s="102">
        <f t="shared" si="32"/>
        <v>0</v>
      </c>
      <c r="G141" s="120"/>
      <c r="H141" s="120"/>
      <c r="I141" s="120"/>
      <c r="J141" s="120"/>
      <c r="K141" s="120"/>
      <c r="L141" s="120"/>
      <c r="M141" s="128">
        <f t="shared" si="33"/>
        <v>0</v>
      </c>
      <c r="N141" s="102">
        <f t="shared" si="29"/>
        <v>0</v>
      </c>
      <c r="O141" s="120"/>
      <c r="P141" s="120"/>
      <c r="Q141" s="120"/>
      <c r="R141" s="120"/>
      <c r="S141" s="120"/>
      <c r="T141" s="120"/>
      <c r="U141" s="128">
        <f t="shared" si="34"/>
        <v>0</v>
      </c>
      <c r="V141" s="102">
        <f t="shared" si="35"/>
        <v>0</v>
      </c>
      <c r="W141" s="21"/>
      <c r="X141" s="21"/>
      <c r="Y141" s="21"/>
      <c r="Z141" s="21"/>
      <c r="AA141" s="102">
        <f t="shared" si="36"/>
        <v>0</v>
      </c>
      <c r="AB141" s="102">
        <f t="shared" si="37"/>
        <v>0</v>
      </c>
      <c r="AC141" s="102">
        <f t="shared" si="38"/>
        <v>0</v>
      </c>
      <c r="AD141" s="102">
        <f t="shared" si="39"/>
        <v>0</v>
      </c>
      <c r="AE141" s="102">
        <f t="shared" si="30"/>
        <v>0</v>
      </c>
      <c r="AF141" s="129">
        <f t="shared" si="31"/>
        <v>0</v>
      </c>
    </row>
    <row r="142" spans="2:32" x14ac:dyDescent="0.25">
      <c r="B142" s="4" t="s">
        <v>188</v>
      </c>
      <c r="C142" s="70"/>
      <c r="D142" s="70"/>
      <c r="E142" s="70"/>
      <c r="F142" s="102">
        <f t="shared" si="32"/>
        <v>0</v>
      </c>
      <c r="G142" s="120"/>
      <c r="H142" s="120"/>
      <c r="I142" s="120"/>
      <c r="J142" s="120"/>
      <c r="K142" s="120"/>
      <c r="L142" s="120"/>
      <c r="M142" s="128">
        <f t="shared" si="33"/>
        <v>0</v>
      </c>
      <c r="N142" s="102">
        <f t="shared" si="29"/>
        <v>0</v>
      </c>
      <c r="O142" s="120"/>
      <c r="P142" s="120"/>
      <c r="Q142" s="120"/>
      <c r="R142" s="120"/>
      <c r="S142" s="120"/>
      <c r="T142" s="120"/>
      <c r="U142" s="128">
        <f t="shared" si="34"/>
        <v>0</v>
      </c>
      <c r="V142" s="102">
        <f t="shared" si="35"/>
        <v>0</v>
      </c>
      <c r="W142" s="21"/>
      <c r="X142" s="21"/>
      <c r="Y142" s="21"/>
      <c r="Z142" s="21"/>
      <c r="AA142" s="102">
        <f t="shared" si="36"/>
        <v>0</v>
      </c>
      <c r="AB142" s="102">
        <f t="shared" si="37"/>
        <v>0</v>
      </c>
      <c r="AC142" s="102">
        <f t="shared" si="38"/>
        <v>0</v>
      </c>
      <c r="AD142" s="102">
        <f t="shared" si="39"/>
        <v>0</v>
      </c>
      <c r="AE142" s="102">
        <f t="shared" si="30"/>
        <v>0</v>
      </c>
      <c r="AF142" s="129">
        <f t="shared" si="31"/>
        <v>0</v>
      </c>
    </row>
    <row r="143" spans="2:32" x14ac:dyDescent="0.25">
      <c r="B143" s="4" t="s">
        <v>188</v>
      </c>
      <c r="C143" s="70"/>
      <c r="D143" s="70"/>
      <c r="E143" s="70"/>
      <c r="F143" s="102">
        <f t="shared" si="32"/>
        <v>0</v>
      </c>
      <c r="G143" s="120"/>
      <c r="H143" s="120"/>
      <c r="I143" s="120"/>
      <c r="J143" s="120"/>
      <c r="K143" s="120"/>
      <c r="L143" s="120"/>
      <c r="M143" s="128">
        <f t="shared" si="33"/>
        <v>0</v>
      </c>
      <c r="N143" s="102">
        <f t="shared" si="29"/>
        <v>0</v>
      </c>
      <c r="O143" s="120"/>
      <c r="P143" s="120"/>
      <c r="Q143" s="120"/>
      <c r="R143" s="120"/>
      <c r="S143" s="120"/>
      <c r="T143" s="120"/>
      <c r="U143" s="128">
        <f t="shared" si="34"/>
        <v>0</v>
      </c>
      <c r="V143" s="102">
        <f t="shared" si="35"/>
        <v>0</v>
      </c>
      <c r="W143" s="21"/>
      <c r="X143" s="21"/>
      <c r="Y143" s="21"/>
      <c r="Z143" s="21"/>
      <c r="AA143" s="102">
        <f t="shared" si="36"/>
        <v>0</v>
      </c>
      <c r="AB143" s="102">
        <f t="shared" si="37"/>
        <v>0</v>
      </c>
      <c r="AC143" s="102">
        <f t="shared" si="38"/>
        <v>0</v>
      </c>
      <c r="AD143" s="102">
        <f t="shared" si="39"/>
        <v>0</v>
      </c>
      <c r="AE143" s="102">
        <f t="shared" si="30"/>
        <v>0</v>
      </c>
      <c r="AF143" s="129">
        <f t="shared" si="31"/>
        <v>0</v>
      </c>
    </row>
    <row r="144" spans="2:32" x14ac:dyDescent="0.25">
      <c r="B144" s="4" t="s">
        <v>188</v>
      </c>
      <c r="C144" s="70"/>
      <c r="D144" s="70"/>
      <c r="E144" s="70"/>
      <c r="F144" s="102">
        <f t="shared" si="32"/>
        <v>0</v>
      </c>
      <c r="G144" s="120"/>
      <c r="H144" s="120"/>
      <c r="I144" s="120"/>
      <c r="J144" s="120"/>
      <c r="K144" s="120"/>
      <c r="L144" s="120"/>
      <c r="M144" s="128">
        <f t="shared" si="33"/>
        <v>0</v>
      </c>
      <c r="N144" s="102">
        <f t="shared" si="29"/>
        <v>0</v>
      </c>
      <c r="O144" s="120"/>
      <c r="P144" s="120"/>
      <c r="Q144" s="120"/>
      <c r="R144" s="120"/>
      <c r="S144" s="120"/>
      <c r="T144" s="120"/>
      <c r="U144" s="128">
        <f t="shared" si="34"/>
        <v>0</v>
      </c>
      <c r="V144" s="102">
        <f t="shared" si="35"/>
        <v>0</v>
      </c>
      <c r="W144" s="21"/>
      <c r="X144" s="21"/>
      <c r="Y144" s="21"/>
      <c r="Z144" s="21"/>
      <c r="AA144" s="102">
        <f t="shared" si="36"/>
        <v>0</v>
      </c>
      <c r="AB144" s="102">
        <f t="shared" si="37"/>
        <v>0</v>
      </c>
      <c r="AC144" s="102">
        <f t="shared" si="38"/>
        <v>0</v>
      </c>
      <c r="AD144" s="102">
        <f t="shared" si="39"/>
        <v>0</v>
      </c>
      <c r="AE144" s="102">
        <f t="shared" si="30"/>
        <v>0</v>
      </c>
      <c r="AF144" s="129">
        <f t="shared" si="31"/>
        <v>0</v>
      </c>
    </row>
    <row r="145" spans="2:32" x14ac:dyDescent="0.25">
      <c r="B145" s="4" t="s">
        <v>188</v>
      </c>
      <c r="C145" s="70"/>
      <c r="D145" s="70"/>
      <c r="E145" s="70"/>
      <c r="F145" s="102">
        <f t="shared" si="32"/>
        <v>0</v>
      </c>
      <c r="G145" s="120"/>
      <c r="H145" s="120"/>
      <c r="I145" s="120"/>
      <c r="J145" s="120"/>
      <c r="K145" s="120"/>
      <c r="L145" s="120"/>
      <c r="M145" s="128">
        <f t="shared" si="33"/>
        <v>0</v>
      </c>
      <c r="N145" s="102">
        <f t="shared" si="29"/>
        <v>0</v>
      </c>
      <c r="O145" s="120"/>
      <c r="P145" s="120"/>
      <c r="Q145" s="120"/>
      <c r="R145" s="120"/>
      <c r="S145" s="120"/>
      <c r="T145" s="120"/>
      <c r="U145" s="128">
        <f t="shared" si="34"/>
        <v>0</v>
      </c>
      <c r="V145" s="102">
        <f t="shared" si="35"/>
        <v>0</v>
      </c>
      <c r="W145" s="21"/>
      <c r="X145" s="21"/>
      <c r="Y145" s="21"/>
      <c r="Z145" s="21"/>
      <c r="AA145" s="102">
        <f t="shared" si="36"/>
        <v>0</v>
      </c>
      <c r="AB145" s="102">
        <f t="shared" si="37"/>
        <v>0</v>
      </c>
      <c r="AC145" s="102">
        <f t="shared" si="38"/>
        <v>0</v>
      </c>
      <c r="AD145" s="102">
        <f t="shared" si="39"/>
        <v>0</v>
      </c>
      <c r="AE145" s="102">
        <f t="shared" si="30"/>
        <v>0</v>
      </c>
      <c r="AF145" s="129">
        <f t="shared" si="31"/>
        <v>0</v>
      </c>
    </row>
    <row r="146" spans="2:32" x14ac:dyDescent="0.25">
      <c r="B146" s="4" t="s">
        <v>188</v>
      </c>
      <c r="C146" s="70"/>
      <c r="D146" s="70"/>
      <c r="E146" s="70"/>
      <c r="F146" s="102">
        <f t="shared" si="32"/>
        <v>0</v>
      </c>
      <c r="G146" s="120"/>
      <c r="H146" s="120"/>
      <c r="I146" s="120"/>
      <c r="J146" s="120"/>
      <c r="K146" s="120"/>
      <c r="L146" s="120"/>
      <c r="M146" s="128">
        <f t="shared" si="33"/>
        <v>0</v>
      </c>
      <c r="N146" s="102">
        <f t="shared" si="29"/>
        <v>0</v>
      </c>
      <c r="O146" s="120"/>
      <c r="P146" s="120"/>
      <c r="Q146" s="120"/>
      <c r="R146" s="120"/>
      <c r="S146" s="120"/>
      <c r="T146" s="120"/>
      <c r="U146" s="128">
        <f t="shared" si="34"/>
        <v>0</v>
      </c>
      <c r="V146" s="102">
        <f t="shared" si="35"/>
        <v>0</v>
      </c>
      <c r="W146" s="21"/>
      <c r="X146" s="21"/>
      <c r="Y146" s="21"/>
      <c r="Z146" s="21"/>
      <c r="AA146" s="102">
        <f t="shared" si="36"/>
        <v>0</v>
      </c>
      <c r="AB146" s="102">
        <f t="shared" si="37"/>
        <v>0</v>
      </c>
      <c r="AC146" s="102">
        <f t="shared" si="38"/>
        <v>0</v>
      </c>
      <c r="AD146" s="102">
        <f t="shared" si="39"/>
        <v>0</v>
      </c>
      <c r="AE146" s="102">
        <f t="shared" si="30"/>
        <v>0</v>
      </c>
      <c r="AF146" s="129">
        <f t="shared" si="31"/>
        <v>0</v>
      </c>
    </row>
    <row r="147" spans="2:32" x14ac:dyDescent="0.25">
      <c r="B147" s="4" t="s">
        <v>188</v>
      </c>
      <c r="C147" s="70"/>
      <c r="D147" s="70"/>
      <c r="E147" s="70"/>
      <c r="F147" s="102">
        <f t="shared" si="32"/>
        <v>0</v>
      </c>
      <c r="G147" s="120"/>
      <c r="H147" s="120"/>
      <c r="I147" s="120"/>
      <c r="J147" s="120"/>
      <c r="K147" s="120"/>
      <c r="L147" s="120"/>
      <c r="M147" s="128">
        <f t="shared" si="33"/>
        <v>0</v>
      </c>
      <c r="N147" s="102">
        <f t="shared" si="29"/>
        <v>0</v>
      </c>
      <c r="O147" s="120"/>
      <c r="P147" s="120"/>
      <c r="Q147" s="120"/>
      <c r="R147" s="120"/>
      <c r="S147" s="120"/>
      <c r="T147" s="120"/>
      <c r="U147" s="128">
        <f t="shared" si="34"/>
        <v>0</v>
      </c>
      <c r="V147" s="102">
        <f t="shared" si="35"/>
        <v>0</v>
      </c>
      <c r="W147" s="21"/>
      <c r="X147" s="21"/>
      <c r="Y147" s="21"/>
      <c r="Z147" s="21"/>
      <c r="AA147" s="102">
        <f t="shared" si="36"/>
        <v>0</v>
      </c>
      <c r="AB147" s="102">
        <f t="shared" si="37"/>
        <v>0</v>
      </c>
      <c r="AC147" s="102">
        <f t="shared" si="38"/>
        <v>0</v>
      </c>
      <c r="AD147" s="102">
        <f t="shared" si="39"/>
        <v>0</v>
      </c>
      <c r="AE147" s="102">
        <f t="shared" si="30"/>
        <v>0</v>
      </c>
      <c r="AF147" s="129">
        <f t="shared" si="31"/>
        <v>0</v>
      </c>
    </row>
    <row r="148" spans="2:32" x14ac:dyDescent="0.25">
      <c r="B148" s="4" t="s">
        <v>188</v>
      </c>
      <c r="C148" s="70"/>
      <c r="D148" s="70"/>
      <c r="E148" s="70"/>
      <c r="F148" s="102">
        <f t="shared" si="32"/>
        <v>0</v>
      </c>
      <c r="G148" s="120"/>
      <c r="H148" s="120"/>
      <c r="I148" s="120"/>
      <c r="J148" s="120"/>
      <c r="K148" s="120"/>
      <c r="L148" s="120"/>
      <c r="M148" s="128">
        <f t="shared" si="33"/>
        <v>0</v>
      </c>
      <c r="N148" s="102">
        <f t="shared" si="29"/>
        <v>0</v>
      </c>
      <c r="O148" s="120"/>
      <c r="P148" s="120"/>
      <c r="Q148" s="120"/>
      <c r="R148" s="120"/>
      <c r="S148" s="120"/>
      <c r="T148" s="120"/>
      <c r="U148" s="128">
        <f t="shared" si="34"/>
        <v>0</v>
      </c>
      <c r="V148" s="102">
        <f t="shared" si="35"/>
        <v>0</v>
      </c>
      <c r="W148" s="21"/>
      <c r="X148" s="21"/>
      <c r="Y148" s="21"/>
      <c r="Z148" s="21"/>
      <c r="AA148" s="102">
        <f t="shared" si="36"/>
        <v>0</v>
      </c>
      <c r="AB148" s="102">
        <f t="shared" si="37"/>
        <v>0</v>
      </c>
      <c r="AC148" s="102">
        <f t="shared" si="38"/>
        <v>0</v>
      </c>
      <c r="AD148" s="102">
        <f t="shared" si="39"/>
        <v>0</v>
      </c>
      <c r="AE148" s="102">
        <f t="shared" si="30"/>
        <v>0</v>
      </c>
      <c r="AF148" s="129">
        <f t="shared" si="31"/>
        <v>0</v>
      </c>
    </row>
    <row r="149" spans="2:32" x14ac:dyDescent="0.25">
      <c r="B149" s="4" t="s">
        <v>188</v>
      </c>
      <c r="C149" s="70"/>
      <c r="D149" s="70"/>
      <c r="E149" s="70"/>
      <c r="F149" s="102">
        <f t="shared" si="32"/>
        <v>0</v>
      </c>
      <c r="G149" s="120"/>
      <c r="H149" s="120"/>
      <c r="I149" s="120"/>
      <c r="J149" s="120"/>
      <c r="K149" s="120"/>
      <c r="L149" s="120"/>
      <c r="M149" s="128">
        <f t="shared" si="33"/>
        <v>0</v>
      </c>
      <c r="N149" s="102">
        <f t="shared" si="29"/>
        <v>0</v>
      </c>
      <c r="O149" s="120"/>
      <c r="P149" s="120"/>
      <c r="Q149" s="120"/>
      <c r="R149" s="120"/>
      <c r="S149" s="120"/>
      <c r="T149" s="120"/>
      <c r="U149" s="128">
        <f t="shared" si="34"/>
        <v>0</v>
      </c>
      <c r="V149" s="102">
        <f t="shared" si="35"/>
        <v>0</v>
      </c>
      <c r="W149" s="21"/>
      <c r="X149" s="21"/>
      <c r="Y149" s="21"/>
      <c r="Z149" s="21"/>
      <c r="AA149" s="102">
        <f t="shared" si="36"/>
        <v>0</v>
      </c>
      <c r="AB149" s="102">
        <f t="shared" si="37"/>
        <v>0</v>
      </c>
      <c r="AC149" s="102">
        <f t="shared" si="38"/>
        <v>0</v>
      </c>
      <c r="AD149" s="102">
        <f t="shared" si="39"/>
        <v>0</v>
      </c>
      <c r="AE149" s="102">
        <f t="shared" si="30"/>
        <v>0</v>
      </c>
      <c r="AF149" s="129">
        <f t="shared" si="31"/>
        <v>0</v>
      </c>
    </row>
    <row r="150" spans="2:32" x14ac:dyDescent="0.25">
      <c r="B150" s="4" t="s">
        <v>188</v>
      </c>
      <c r="C150" s="70"/>
      <c r="D150" s="70"/>
      <c r="E150" s="70"/>
      <c r="F150" s="102">
        <f t="shared" si="32"/>
        <v>0</v>
      </c>
      <c r="G150" s="120"/>
      <c r="H150" s="120"/>
      <c r="I150" s="120"/>
      <c r="J150" s="120"/>
      <c r="K150" s="120"/>
      <c r="L150" s="120"/>
      <c r="M150" s="128">
        <f t="shared" si="33"/>
        <v>0</v>
      </c>
      <c r="N150" s="102">
        <f t="shared" si="29"/>
        <v>0</v>
      </c>
      <c r="O150" s="120"/>
      <c r="P150" s="120"/>
      <c r="Q150" s="120"/>
      <c r="R150" s="120"/>
      <c r="S150" s="120"/>
      <c r="T150" s="120"/>
      <c r="U150" s="128">
        <f t="shared" si="34"/>
        <v>0</v>
      </c>
      <c r="V150" s="102">
        <f t="shared" si="35"/>
        <v>0</v>
      </c>
      <c r="W150" s="21"/>
      <c r="X150" s="21"/>
      <c r="Y150" s="21"/>
      <c r="Z150" s="21"/>
      <c r="AA150" s="102">
        <f t="shared" si="36"/>
        <v>0</v>
      </c>
      <c r="AB150" s="102">
        <f t="shared" si="37"/>
        <v>0</v>
      </c>
      <c r="AC150" s="102">
        <f t="shared" si="38"/>
        <v>0</v>
      </c>
      <c r="AD150" s="102">
        <f t="shared" si="39"/>
        <v>0</v>
      </c>
      <c r="AE150" s="102">
        <f t="shared" si="30"/>
        <v>0</v>
      </c>
      <c r="AF150" s="129">
        <f t="shared" si="31"/>
        <v>0</v>
      </c>
    </row>
    <row r="151" spans="2:32" x14ac:dyDescent="0.25">
      <c r="B151" s="4" t="s">
        <v>188</v>
      </c>
      <c r="C151" s="70"/>
      <c r="D151" s="70"/>
      <c r="E151" s="70"/>
      <c r="F151" s="102">
        <f t="shared" si="32"/>
        <v>0</v>
      </c>
      <c r="G151" s="120"/>
      <c r="H151" s="120"/>
      <c r="I151" s="120"/>
      <c r="J151" s="120"/>
      <c r="K151" s="120"/>
      <c r="L151" s="120"/>
      <c r="M151" s="128">
        <f t="shared" si="33"/>
        <v>0</v>
      </c>
      <c r="N151" s="102">
        <f t="shared" si="29"/>
        <v>0</v>
      </c>
      <c r="O151" s="120"/>
      <c r="P151" s="120"/>
      <c r="Q151" s="120"/>
      <c r="R151" s="120"/>
      <c r="S151" s="120"/>
      <c r="T151" s="120"/>
      <c r="U151" s="128">
        <f t="shared" si="34"/>
        <v>0</v>
      </c>
      <c r="V151" s="102">
        <f t="shared" si="35"/>
        <v>0</v>
      </c>
      <c r="W151" s="21"/>
      <c r="X151" s="21"/>
      <c r="Y151" s="21"/>
      <c r="Z151" s="21"/>
      <c r="AA151" s="102">
        <f t="shared" si="36"/>
        <v>0</v>
      </c>
      <c r="AB151" s="102">
        <f t="shared" si="37"/>
        <v>0</v>
      </c>
      <c r="AC151" s="102">
        <f t="shared" si="38"/>
        <v>0</v>
      </c>
      <c r="AD151" s="102">
        <f t="shared" si="39"/>
        <v>0</v>
      </c>
      <c r="AE151" s="102">
        <f t="shared" si="30"/>
        <v>0</v>
      </c>
      <c r="AF151" s="129">
        <f t="shared" si="31"/>
        <v>0</v>
      </c>
    </row>
    <row r="152" spans="2:32" x14ac:dyDescent="0.25">
      <c r="B152" s="4" t="s">
        <v>188</v>
      </c>
      <c r="C152" s="70"/>
      <c r="D152" s="70"/>
      <c r="E152" s="70"/>
      <c r="F152" s="102">
        <f t="shared" si="32"/>
        <v>0</v>
      </c>
      <c r="G152" s="120"/>
      <c r="H152" s="120"/>
      <c r="I152" s="120"/>
      <c r="J152" s="120"/>
      <c r="K152" s="120"/>
      <c r="L152" s="120"/>
      <c r="M152" s="128">
        <f t="shared" si="33"/>
        <v>0</v>
      </c>
      <c r="N152" s="102">
        <f t="shared" si="29"/>
        <v>0</v>
      </c>
      <c r="O152" s="120"/>
      <c r="P152" s="120"/>
      <c r="Q152" s="120"/>
      <c r="R152" s="120"/>
      <c r="S152" s="120"/>
      <c r="T152" s="120"/>
      <c r="U152" s="128">
        <f t="shared" si="34"/>
        <v>0</v>
      </c>
      <c r="V152" s="102">
        <f t="shared" si="35"/>
        <v>0</v>
      </c>
      <c r="W152" s="21"/>
      <c r="X152" s="21"/>
      <c r="Y152" s="21"/>
      <c r="Z152" s="21"/>
      <c r="AA152" s="102">
        <f t="shared" si="36"/>
        <v>0</v>
      </c>
      <c r="AB152" s="102">
        <f t="shared" si="37"/>
        <v>0</v>
      </c>
      <c r="AC152" s="102">
        <f t="shared" si="38"/>
        <v>0</v>
      </c>
      <c r="AD152" s="102">
        <f t="shared" si="39"/>
        <v>0</v>
      </c>
      <c r="AE152" s="102">
        <f t="shared" si="30"/>
        <v>0</v>
      </c>
      <c r="AF152" s="129">
        <f t="shared" si="31"/>
        <v>0</v>
      </c>
    </row>
    <row r="153" spans="2:32" x14ac:dyDescent="0.25">
      <c r="B153" s="4" t="s">
        <v>188</v>
      </c>
      <c r="C153" s="70"/>
      <c r="D153" s="70"/>
      <c r="E153" s="70"/>
      <c r="F153" s="102">
        <f t="shared" si="32"/>
        <v>0</v>
      </c>
      <c r="G153" s="120"/>
      <c r="H153" s="120"/>
      <c r="I153" s="120"/>
      <c r="J153" s="120"/>
      <c r="K153" s="120"/>
      <c r="L153" s="120"/>
      <c r="M153" s="128">
        <f t="shared" si="33"/>
        <v>0</v>
      </c>
      <c r="N153" s="102">
        <f t="shared" si="29"/>
        <v>0</v>
      </c>
      <c r="O153" s="120"/>
      <c r="P153" s="120"/>
      <c r="Q153" s="120"/>
      <c r="R153" s="120"/>
      <c r="S153" s="120"/>
      <c r="T153" s="120"/>
      <c r="U153" s="128">
        <f t="shared" si="34"/>
        <v>0</v>
      </c>
      <c r="V153" s="102">
        <f t="shared" si="35"/>
        <v>0</v>
      </c>
      <c r="W153" s="21"/>
      <c r="X153" s="21"/>
      <c r="Y153" s="21"/>
      <c r="Z153" s="21"/>
      <c r="AA153" s="102">
        <f t="shared" si="36"/>
        <v>0</v>
      </c>
      <c r="AB153" s="102">
        <f t="shared" si="37"/>
        <v>0</v>
      </c>
      <c r="AC153" s="102">
        <f t="shared" si="38"/>
        <v>0</v>
      </c>
      <c r="AD153" s="102">
        <f t="shared" si="39"/>
        <v>0</v>
      </c>
      <c r="AE153" s="102">
        <f t="shared" si="30"/>
        <v>0</v>
      </c>
      <c r="AF153" s="129">
        <f t="shared" si="31"/>
        <v>0</v>
      </c>
    </row>
    <row r="154" spans="2:32" x14ac:dyDescent="0.25">
      <c r="B154" s="4" t="s">
        <v>188</v>
      </c>
      <c r="C154" s="70"/>
      <c r="D154" s="70"/>
      <c r="E154" s="70"/>
      <c r="F154" s="102">
        <f t="shared" si="32"/>
        <v>0</v>
      </c>
      <c r="G154" s="120"/>
      <c r="H154" s="120"/>
      <c r="I154" s="120"/>
      <c r="J154" s="120"/>
      <c r="K154" s="120"/>
      <c r="L154" s="120"/>
      <c r="M154" s="128">
        <f t="shared" si="33"/>
        <v>0</v>
      </c>
      <c r="N154" s="102">
        <f t="shared" si="29"/>
        <v>0</v>
      </c>
      <c r="O154" s="120"/>
      <c r="P154" s="120"/>
      <c r="Q154" s="120"/>
      <c r="R154" s="120"/>
      <c r="S154" s="120"/>
      <c r="T154" s="120"/>
      <c r="U154" s="128">
        <f t="shared" si="34"/>
        <v>0</v>
      </c>
      <c r="V154" s="102">
        <f t="shared" si="35"/>
        <v>0</v>
      </c>
      <c r="W154" s="21"/>
      <c r="X154" s="21"/>
      <c r="Y154" s="21"/>
      <c r="Z154" s="21"/>
      <c r="AA154" s="102">
        <f t="shared" si="36"/>
        <v>0</v>
      </c>
      <c r="AB154" s="102">
        <f t="shared" si="37"/>
        <v>0</v>
      </c>
      <c r="AC154" s="102">
        <f t="shared" si="38"/>
        <v>0</v>
      </c>
      <c r="AD154" s="102">
        <f t="shared" si="39"/>
        <v>0</v>
      </c>
      <c r="AE154" s="102">
        <f t="shared" si="30"/>
        <v>0</v>
      </c>
      <c r="AF154" s="129">
        <f t="shared" si="31"/>
        <v>0</v>
      </c>
    </row>
    <row r="155" spans="2:32" x14ac:dyDescent="0.25">
      <c r="B155" s="4" t="s">
        <v>188</v>
      </c>
      <c r="C155" s="70"/>
      <c r="D155" s="70"/>
      <c r="E155" s="70"/>
      <c r="F155" s="102">
        <f t="shared" si="32"/>
        <v>0</v>
      </c>
      <c r="G155" s="120"/>
      <c r="H155" s="120"/>
      <c r="I155" s="120"/>
      <c r="J155" s="120"/>
      <c r="K155" s="120"/>
      <c r="L155" s="120"/>
      <c r="M155" s="128">
        <f t="shared" si="33"/>
        <v>0</v>
      </c>
      <c r="N155" s="102">
        <f t="shared" si="29"/>
        <v>0</v>
      </c>
      <c r="O155" s="120"/>
      <c r="P155" s="120"/>
      <c r="Q155" s="120"/>
      <c r="R155" s="120"/>
      <c r="S155" s="120"/>
      <c r="T155" s="120"/>
      <c r="U155" s="128">
        <f t="shared" si="34"/>
        <v>0</v>
      </c>
      <c r="V155" s="102">
        <f t="shared" si="35"/>
        <v>0</v>
      </c>
      <c r="W155" s="21"/>
      <c r="X155" s="21"/>
      <c r="Y155" s="21"/>
      <c r="Z155" s="21"/>
      <c r="AA155" s="102">
        <f t="shared" si="36"/>
        <v>0</v>
      </c>
      <c r="AB155" s="102">
        <f t="shared" si="37"/>
        <v>0</v>
      </c>
      <c r="AC155" s="102">
        <f t="shared" si="38"/>
        <v>0</v>
      </c>
      <c r="AD155" s="102">
        <f t="shared" si="39"/>
        <v>0</v>
      </c>
      <c r="AE155" s="102">
        <f t="shared" si="30"/>
        <v>0</v>
      </c>
      <c r="AF155" s="129">
        <f t="shared" si="31"/>
        <v>0</v>
      </c>
    </row>
    <row r="156" spans="2:32" x14ac:dyDescent="0.25">
      <c r="B156" s="4" t="s">
        <v>188</v>
      </c>
      <c r="C156" s="70"/>
      <c r="D156" s="70"/>
      <c r="E156" s="70"/>
      <c r="F156" s="102">
        <f t="shared" si="32"/>
        <v>0</v>
      </c>
      <c r="G156" s="120"/>
      <c r="H156" s="120"/>
      <c r="I156" s="120"/>
      <c r="J156" s="120"/>
      <c r="K156" s="120"/>
      <c r="L156" s="120"/>
      <c r="M156" s="128">
        <f t="shared" si="33"/>
        <v>0</v>
      </c>
      <c r="N156" s="102">
        <f t="shared" si="29"/>
        <v>0</v>
      </c>
      <c r="O156" s="120"/>
      <c r="P156" s="120"/>
      <c r="Q156" s="120"/>
      <c r="R156" s="120"/>
      <c r="S156" s="120"/>
      <c r="T156" s="120"/>
      <c r="U156" s="128">
        <f t="shared" si="34"/>
        <v>0</v>
      </c>
      <c r="V156" s="102">
        <f t="shared" si="35"/>
        <v>0</v>
      </c>
      <c r="W156" s="21"/>
      <c r="X156" s="21"/>
      <c r="Y156" s="21"/>
      <c r="Z156" s="21"/>
      <c r="AA156" s="102">
        <f t="shared" si="36"/>
        <v>0</v>
      </c>
      <c r="AB156" s="102">
        <f t="shared" si="37"/>
        <v>0</v>
      </c>
      <c r="AC156" s="102">
        <f t="shared" si="38"/>
        <v>0</v>
      </c>
      <c r="AD156" s="102">
        <f t="shared" si="39"/>
        <v>0</v>
      </c>
      <c r="AE156" s="102">
        <f t="shared" si="30"/>
        <v>0</v>
      </c>
      <c r="AF156" s="129">
        <f t="shared" si="31"/>
        <v>0</v>
      </c>
    </row>
    <row r="157" spans="2:32" x14ac:dyDescent="0.25">
      <c r="B157" s="4" t="s">
        <v>188</v>
      </c>
      <c r="C157" s="70"/>
      <c r="D157" s="70"/>
      <c r="E157" s="70"/>
      <c r="F157" s="102">
        <f t="shared" si="32"/>
        <v>0</v>
      </c>
      <c r="G157" s="120"/>
      <c r="H157" s="120"/>
      <c r="I157" s="120"/>
      <c r="J157" s="120"/>
      <c r="K157" s="120"/>
      <c r="L157" s="120"/>
      <c r="M157" s="128">
        <f t="shared" si="33"/>
        <v>0</v>
      </c>
      <c r="N157" s="102">
        <f t="shared" si="29"/>
        <v>0</v>
      </c>
      <c r="O157" s="120"/>
      <c r="P157" s="120"/>
      <c r="Q157" s="120"/>
      <c r="R157" s="120"/>
      <c r="S157" s="120"/>
      <c r="T157" s="120"/>
      <c r="U157" s="128">
        <f t="shared" si="34"/>
        <v>0</v>
      </c>
      <c r="V157" s="102">
        <f t="shared" si="35"/>
        <v>0</v>
      </c>
      <c r="W157" s="21"/>
      <c r="X157" s="21"/>
      <c r="Y157" s="21"/>
      <c r="Z157" s="21"/>
      <c r="AA157" s="102">
        <f t="shared" si="36"/>
        <v>0</v>
      </c>
      <c r="AB157" s="102">
        <f t="shared" si="37"/>
        <v>0</v>
      </c>
      <c r="AC157" s="102">
        <f t="shared" si="38"/>
        <v>0</v>
      </c>
      <c r="AD157" s="102">
        <f t="shared" si="39"/>
        <v>0</v>
      </c>
      <c r="AE157" s="102">
        <f t="shared" si="30"/>
        <v>0</v>
      </c>
      <c r="AF157" s="129">
        <f t="shared" si="31"/>
        <v>0</v>
      </c>
    </row>
    <row r="158" spans="2:32" x14ac:dyDescent="0.25">
      <c r="B158" s="4" t="s">
        <v>188</v>
      </c>
      <c r="C158" s="70"/>
      <c r="D158" s="70"/>
      <c r="E158" s="70"/>
      <c r="F158" s="102">
        <f t="shared" si="32"/>
        <v>0</v>
      </c>
      <c r="G158" s="120"/>
      <c r="H158" s="120"/>
      <c r="I158" s="120"/>
      <c r="J158" s="120"/>
      <c r="K158" s="120"/>
      <c r="L158" s="120"/>
      <c r="M158" s="128">
        <f t="shared" si="33"/>
        <v>0</v>
      </c>
      <c r="N158" s="102">
        <f t="shared" si="29"/>
        <v>0</v>
      </c>
      <c r="O158" s="120"/>
      <c r="P158" s="120"/>
      <c r="Q158" s="120"/>
      <c r="R158" s="120"/>
      <c r="S158" s="120"/>
      <c r="T158" s="120"/>
      <c r="U158" s="128">
        <f t="shared" si="34"/>
        <v>0</v>
      </c>
      <c r="V158" s="102">
        <f t="shared" si="35"/>
        <v>0</v>
      </c>
      <c r="W158" s="21"/>
      <c r="X158" s="21"/>
      <c r="Y158" s="21"/>
      <c r="Z158" s="21"/>
      <c r="AA158" s="102">
        <f t="shared" si="36"/>
        <v>0</v>
      </c>
      <c r="AB158" s="102">
        <f t="shared" si="37"/>
        <v>0</v>
      </c>
      <c r="AC158" s="102">
        <f t="shared" si="38"/>
        <v>0</v>
      </c>
      <c r="AD158" s="102">
        <f t="shared" si="39"/>
        <v>0</v>
      </c>
      <c r="AE158" s="102">
        <f t="shared" si="30"/>
        <v>0</v>
      </c>
      <c r="AF158" s="129">
        <f t="shared" si="31"/>
        <v>0</v>
      </c>
    </row>
    <row r="159" spans="2:32" x14ac:dyDescent="0.25">
      <c r="B159" s="4" t="s">
        <v>188</v>
      </c>
      <c r="C159" s="70"/>
      <c r="D159" s="70"/>
      <c r="E159" s="70"/>
      <c r="F159" s="102">
        <f t="shared" si="32"/>
        <v>0</v>
      </c>
      <c r="G159" s="120"/>
      <c r="H159" s="120"/>
      <c r="I159" s="120"/>
      <c r="J159" s="120"/>
      <c r="K159" s="120"/>
      <c r="L159" s="120"/>
      <c r="M159" s="128">
        <f t="shared" si="33"/>
        <v>0</v>
      </c>
      <c r="N159" s="102">
        <f t="shared" si="29"/>
        <v>0</v>
      </c>
      <c r="O159" s="120"/>
      <c r="P159" s="120"/>
      <c r="Q159" s="120"/>
      <c r="R159" s="120"/>
      <c r="S159" s="120"/>
      <c r="T159" s="120"/>
      <c r="U159" s="128">
        <f t="shared" si="34"/>
        <v>0</v>
      </c>
      <c r="V159" s="102">
        <f t="shared" si="35"/>
        <v>0</v>
      </c>
      <c r="W159" s="21"/>
      <c r="X159" s="21"/>
      <c r="Y159" s="21"/>
      <c r="Z159" s="21"/>
      <c r="AA159" s="102">
        <f t="shared" si="36"/>
        <v>0</v>
      </c>
      <c r="AB159" s="102">
        <f t="shared" si="37"/>
        <v>0</v>
      </c>
      <c r="AC159" s="102">
        <f t="shared" si="38"/>
        <v>0</v>
      </c>
      <c r="AD159" s="102">
        <f t="shared" si="39"/>
        <v>0</v>
      </c>
      <c r="AE159" s="102">
        <f t="shared" si="30"/>
        <v>0</v>
      </c>
      <c r="AF159" s="129">
        <f t="shared" si="31"/>
        <v>0</v>
      </c>
    </row>
    <row r="160" spans="2:32" x14ac:dyDescent="0.25">
      <c r="B160" s="4" t="s">
        <v>188</v>
      </c>
      <c r="C160" s="70"/>
      <c r="D160" s="70"/>
      <c r="E160" s="70"/>
      <c r="F160" s="102">
        <f t="shared" si="32"/>
        <v>0</v>
      </c>
      <c r="G160" s="120"/>
      <c r="H160" s="120"/>
      <c r="I160" s="120"/>
      <c r="J160" s="120"/>
      <c r="K160" s="120"/>
      <c r="L160" s="120"/>
      <c r="M160" s="128">
        <f t="shared" si="33"/>
        <v>0</v>
      </c>
      <c r="N160" s="102">
        <f t="shared" si="29"/>
        <v>0</v>
      </c>
      <c r="O160" s="120"/>
      <c r="P160" s="120"/>
      <c r="Q160" s="120"/>
      <c r="R160" s="120"/>
      <c r="S160" s="120"/>
      <c r="T160" s="120"/>
      <c r="U160" s="128">
        <f t="shared" si="34"/>
        <v>0</v>
      </c>
      <c r="V160" s="102">
        <f t="shared" si="35"/>
        <v>0</v>
      </c>
      <c r="W160" s="21"/>
      <c r="X160" s="21"/>
      <c r="Y160" s="21"/>
      <c r="Z160" s="21"/>
      <c r="AA160" s="102">
        <f t="shared" si="36"/>
        <v>0</v>
      </c>
      <c r="AB160" s="102">
        <f t="shared" si="37"/>
        <v>0</v>
      </c>
      <c r="AC160" s="102">
        <f t="shared" si="38"/>
        <v>0</v>
      </c>
      <c r="AD160" s="102">
        <f t="shared" si="39"/>
        <v>0</v>
      </c>
      <c r="AE160" s="102">
        <f t="shared" si="30"/>
        <v>0</v>
      </c>
      <c r="AF160" s="129">
        <f t="shared" si="31"/>
        <v>0</v>
      </c>
    </row>
    <row r="161" spans="2:32" x14ac:dyDescent="0.25">
      <c r="B161" s="4" t="s">
        <v>188</v>
      </c>
      <c r="C161" s="70"/>
      <c r="D161" s="70"/>
      <c r="E161" s="70"/>
      <c r="F161" s="102">
        <f t="shared" si="32"/>
        <v>0</v>
      </c>
      <c r="G161" s="120"/>
      <c r="H161" s="120"/>
      <c r="I161" s="120"/>
      <c r="J161" s="120"/>
      <c r="K161" s="120"/>
      <c r="L161" s="120"/>
      <c r="M161" s="128">
        <f t="shared" si="33"/>
        <v>0</v>
      </c>
      <c r="N161" s="102">
        <f t="shared" si="29"/>
        <v>0</v>
      </c>
      <c r="O161" s="120"/>
      <c r="P161" s="120"/>
      <c r="Q161" s="120"/>
      <c r="R161" s="120"/>
      <c r="S161" s="120"/>
      <c r="T161" s="120"/>
      <c r="U161" s="128">
        <f t="shared" si="34"/>
        <v>0</v>
      </c>
      <c r="V161" s="102">
        <f t="shared" si="35"/>
        <v>0</v>
      </c>
      <c r="W161" s="21"/>
      <c r="X161" s="21"/>
      <c r="Y161" s="21"/>
      <c r="Z161" s="21"/>
      <c r="AA161" s="102">
        <f t="shared" si="36"/>
        <v>0</v>
      </c>
      <c r="AB161" s="102">
        <f t="shared" si="37"/>
        <v>0</v>
      </c>
      <c r="AC161" s="102">
        <f t="shared" si="38"/>
        <v>0</v>
      </c>
      <c r="AD161" s="102">
        <f t="shared" si="39"/>
        <v>0</v>
      </c>
      <c r="AE161" s="102">
        <f t="shared" si="30"/>
        <v>0</v>
      </c>
      <c r="AF161" s="129">
        <f t="shared" si="31"/>
        <v>0</v>
      </c>
    </row>
    <row r="162" spans="2:32" x14ac:dyDescent="0.25">
      <c r="B162" s="4" t="s">
        <v>188</v>
      </c>
      <c r="C162" s="70"/>
      <c r="D162" s="70"/>
      <c r="E162" s="70"/>
      <c r="F162" s="102">
        <f t="shared" si="32"/>
        <v>0</v>
      </c>
      <c r="G162" s="120"/>
      <c r="H162" s="120"/>
      <c r="I162" s="120"/>
      <c r="J162" s="120"/>
      <c r="K162" s="120"/>
      <c r="L162" s="120"/>
      <c r="M162" s="128">
        <f t="shared" si="33"/>
        <v>0</v>
      </c>
      <c r="N162" s="102">
        <f t="shared" si="29"/>
        <v>0</v>
      </c>
      <c r="O162" s="120"/>
      <c r="P162" s="120"/>
      <c r="Q162" s="120"/>
      <c r="R162" s="120"/>
      <c r="S162" s="120"/>
      <c r="T162" s="120"/>
      <c r="U162" s="128">
        <f t="shared" si="34"/>
        <v>0</v>
      </c>
      <c r="V162" s="102">
        <f t="shared" si="35"/>
        <v>0</v>
      </c>
      <c r="W162" s="21"/>
      <c r="X162" s="21"/>
      <c r="Y162" s="21"/>
      <c r="Z162" s="21"/>
      <c r="AA162" s="102">
        <f t="shared" si="36"/>
        <v>0</v>
      </c>
      <c r="AB162" s="102">
        <f t="shared" si="37"/>
        <v>0</v>
      </c>
      <c r="AC162" s="102">
        <f t="shared" si="38"/>
        <v>0</v>
      </c>
      <c r="AD162" s="102">
        <f t="shared" si="39"/>
        <v>0</v>
      </c>
      <c r="AE162" s="102">
        <f t="shared" si="30"/>
        <v>0</v>
      </c>
      <c r="AF162" s="129">
        <f t="shared" si="31"/>
        <v>0</v>
      </c>
    </row>
    <row r="163" spans="2:32" x14ac:dyDescent="0.25">
      <c r="B163" s="4" t="s">
        <v>188</v>
      </c>
      <c r="C163" s="70"/>
      <c r="D163" s="70"/>
      <c r="E163" s="70"/>
      <c r="F163" s="102">
        <f t="shared" si="32"/>
        <v>0</v>
      </c>
      <c r="G163" s="120"/>
      <c r="H163" s="120"/>
      <c r="I163" s="120"/>
      <c r="J163" s="120"/>
      <c r="K163" s="120"/>
      <c r="L163" s="120"/>
      <c r="M163" s="128">
        <f t="shared" si="33"/>
        <v>0</v>
      </c>
      <c r="N163" s="102">
        <f t="shared" si="29"/>
        <v>0</v>
      </c>
      <c r="O163" s="120"/>
      <c r="P163" s="120"/>
      <c r="Q163" s="120"/>
      <c r="R163" s="120"/>
      <c r="S163" s="120"/>
      <c r="T163" s="120"/>
      <c r="U163" s="128">
        <f t="shared" si="34"/>
        <v>0</v>
      </c>
      <c r="V163" s="102">
        <f t="shared" si="35"/>
        <v>0</v>
      </c>
      <c r="W163" s="21"/>
      <c r="X163" s="21"/>
      <c r="Y163" s="21"/>
      <c r="Z163" s="21"/>
      <c r="AA163" s="102">
        <f t="shared" si="36"/>
        <v>0</v>
      </c>
      <c r="AB163" s="102">
        <f t="shared" si="37"/>
        <v>0</v>
      </c>
      <c r="AC163" s="102">
        <f t="shared" si="38"/>
        <v>0</v>
      </c>
      <c r="AD163" s="102">
        <f t="shared" si="39"/>
        <v>0</v>
      </c>
      <c r="AE163" s="102">
        <f t="shared" si="30"/>
        <v>0</v>
      </c>
      <c r="AF163" s="129">
        <f t="shared" si="31"/>
        <v>0</v>
      </c>
    </row>
    <row r="164" spans="2:32" x14ac:dyDescent="0.25">
      <c r="B164" s="4" t="s">
        <v>188</v>
      </c>
      <c r="C164" s="70"/>
      <c r="D164" s="70"/>
      <c r="E164" s="70"/>
      <c r="F164" s="102">
        <f t="shared" si="32"/>
        <v>0</v>
      </c>
      <c r="G164" s="120"/>
      <c r="H164" s="120"/>
      <c r="I164" s="120"/>
      <c r="J164" s="120"/>
      <c r="K164" s="120"/>
      <c r="L164" s="120"/>
      <c r="M164" s="128">
        <f t="shared" si="33"/>
        <v>0</v>
      </c>
      <c r="N164" s="102">
        <f t="shared" si="29"/>
        <v>0</v>
      </c>
      <c r="O164" s="120"/>
      <c r="P164" s="120"/>
      <c r="Q164" s="120"/>
      <c r="R164" s="120"/>
      <c r="S164" s="120"/>
      <c r="T164" s="120"/>
      <c r="U164" s="128">
        <f t="shared" si="34"/>
        <v>0</v>
      </c>
      <c r="V164" s="102">
        <f t="shared" si="35"/>
        <v>0</v>
      </c>
      <c r="W164" s="21"/>
      <c r="X164" s="21"/>
      <c r="Y164" s="21"/>
      <c r="Z164" s="21"/>
      <c r="AA164" s="102">
        <f t="shared" si="36"/>
        <v>0</v>
      </c>
      <c r="AB164" s="102">
        <f t="shared" si="37"/>
        <v>0</v>
      </c>
      <c r="AC164" s="102">
        <f t="shared" si="38"/>
        <v>0</v>
      </c>
      <c r="AD164" s="102">
        <f t="shared" si="39"/>
        <v>0</v>
      </c>
      <c r="AE164" s="102">
        <f t="shared" si="30"/>
        <v>0</v>
      </c>
      <c r="AF164" s="129">
        <f t="shared" si="31"/>
        <v>0</v>
      </c>
    </row>
    <row r="165" spans="2:32" x14ac:dyDescent="0.25">
      <c r="B165" s="4" t="s">
        <v>188</v>
      </c>
      <c r="C165" s="70"/>
      <c r="D165" s="70"/>
      <c r="E165" s="70"/>
      <c r="F165" s="102">
        <f t="shared" si="32"/>
        <v>0</v>
      </c>
      <c r="G165" s="120"/>
      <c r="H165" s="120"/>
      <c r="I165" s="120"/>
      <c r="J165" s="120"/>
      <c r="K165" s="120"/>
      <c r="L165" s="120"/>
      <c r="M165" s="128">
        <f t="shared" si="33"/>
        <v>0</v>
      </c>
      <c r="N165" s="102">
        <f t="shared" ref="N165:N196" si="40">M165*$N$2</f>
        <v>0</v>
      </c>
      <c r="O165" s="120"/>
      <c r="P165" s="120"/>
      <c r="Q165" s="120"/>
      <c r="R165" s="120"/>
      <c r="S165" s="120"/>
      <c r="T165" s="120"/>
      <c r="U165" s="128">
        <f t="shared" si="34"/>
        <v>0</v>
      </c>
      <c r="V165" s="102">
        <f t="shared" si="35"/>
        <v>0</v>
      </c>
      <c r="W165" s="21"/>
      <c r="X165" s="21"/>
      <c r="Y165" s="21"/>
      <c r="Z165" s="21"/>
      <c r="AA165" s="102">
        <f t="shared" si="36"/>
        <v>0</v>
      </c>
      <c r="AB165" s="102">
        <f t="shared" si="37"/>
        <v>0</v>
      </c>
      <c r="AC165" s="102">
        <f t="shared" si="38"/>
        <v>0</v>
      </c>
      <c r="AD165" s="102">
        <f t="shared" si="39"/>
        <v>0</v>
      </c>
      <c r="AE165" s="102">
        <f t="shared" ref="AE165:AE200" si="41">SUMIF($4:$4,$N$4,165:165)*$AG$2*SUM(W165:Z165)*0.25</f>
        <v>0</v>
      </c>
      <c r="AF165" s="129">
        <f t="shared" ref="AF165:AF196" si="42">+F165*AE165</f>
        <v>0</v>
      </c>
    </row>
    <row r="166" spans="2:32" x14ac:dyDescent="0.25">
      <c r="B166" s="4" t="s">
        <v>188</v>
      </c>
      <c r="C166" s="70"/>
      <c r="D166" s="70"/>
      <c r="E166" s="70"/>
      <c r="F166" s="102">
        <f t="shared" si="32"/>
        <v>0</v>
      </c>
      <c r="G166" s="120"/>
      <c r="H166" s="120"/>
      <c r="I166" s="120"/>
      <c r="J166" s="120"/>
      <c r="K166" s="120"/>
      <c r="L166" s="120"/>
      <c r="M166" s="128">
        <f t="shared" si="33"/>
        <v>0</v>
      </c>
      <c r="N166" s="102">
        <f t="shared" si="40"/>
        <v>0</v>
      </c>
      <c r="O166" s="120"/>
      <c r="P166" s="120"/>
      <c r="Q166" s="120"/>
      <c r="R166" s="120"/>
      <c r="S166" s="120"/>
      <c r="T166" s="120"/>
      <c r="U166" s="128">
        <f t="shared" si="34"/>
        <v>0</v>
      </c>
      <c r="V166" s="102">
        <f t="shared" si="35"/>
        <v>0</v>
      </c>
      <c r="W166" s="21"/>
      <c r="X166" s="21"/>
      <c r="Y166" s="21"/>
      <c r="Z166" s="21"/>
      <c r="AA166" s="102">
        <f t="shared" si="36"/>
        <v>0</v>
      </c>
      <c r="AB166" s="102">
        <f t="shared" si="37"/>
        <v>0</v>
      </c>
      <c r="AC166" s="102">
        <f t="shared" si="38"/>
        <v>0</v>
      </c>
      <c r="AD166" s="102">
        <f t="shared" si="39"/>
        <v>0</v>
      </c>
      <c r="AE166" s="102">
        <f t="shared" si="41"/>
        <v>0</v>
      </c>
      <c r="AF166" s="129">
        <f t="shared" si="42"/>
        <v>0</v>
      </c>
    </row>
    <row r="167" spans="2:32" x14ac:dyDescent="0.25">
      <c r="B167" s="4" t="s">
        <v>188</v>
      </c>
      <c r="C167" s="70"/>
      <c r="D167" s="70"/>
      <c r="E167" s="70"/>
      <c r="F167" s="102">
        <f t="shared" si="32"/>
        <v>0</v>
      </c>
      <c r="G167" s="120"/>
      <c r="H167" s="120"/>
      <c r="I167" s="120"/>
      <c r="J167" s="120"/>
      <c r="K167" s="120"/>
      <c r="L167" s="120"/>
      <c r="M167" s="128">
        <f t="shared" si="33"/>
        <v>0</v>
      </c>
      <c r="N167" s="102">
        <f t="shared" si="40"/>
        <v>0</v>
      </c>
      <c r="O167" s="120"/>
      <c r="P167" s="120"/>
      <c r="Q167" s="120"/>
      <c r="R167" s="120"/>
      <c r="S167" s="120"/>
      <c r="T167" s="120"/>
      <c r="U167" s="128">
        <f t="shared" si="34"/>
        <v>0</v>
      </c>
      <c r="V167" s="102">
        <f t="shared" si="35"/>
        <v>0</v>
      </c>
      <c r="W167" s="21"/>
      <c r="X167" s="21"/>
      <c r="Y167" s="21"/>
      <c r="Z167" s="21"/>
      <c r="AA167" s="102">
        <f t="shared" si="36"/>
        <v>0</v>
      </c>
      <c r="AB167" s="102">
        <f t="shared" si="37"/>
        <v>0</v>
      </c>
      <c r="AC167" s="102">
        <f t="shared" si="38"/>
        <v>0</v>
      </c>
      <c r="AD167" s="102">
        <f t="shared" si="39"/>
        <v>0</v>
      </c>
      <c r="AE167" s="102">
        <f t="shared" si="41"/>
        <v>0</v>
      </c>
      <c r="AF167" s="129">
        <f t="shared" si="42"/>
        <v>0</v>
      </c>
    </row>
    <row r="168" spans="2:32" x14ac:dyDescent="0.25">
      <c r="B168" s="4" t="s">
        <v>188</v>
      </c>
      <c r="C168" s="70"/>
      <c r="D168" s="70"/>
      <c r="E168" s="70"/>
      <c r="F168" s="102">
        <f t="shared" si="32"/>
        <v>0</v>
      </c>
      <c r="G168" s="120"/>
      <c r="H168" s="120"/>
      <c r="I168" s="120"/>
      <c r="J168" s="120"/>
      <c r="K168" s="120"/>
      <c r="L168" s="120"/>
      <c r="M168" s="128">
        <f t="shared" si="33"/>
        <v>0</v>
      </c>
      <c r="N168" s="102">
        <f t="shared" si="40"/>
        <v>0</v>
      </c>
      <c r="O168" s="120"/>
      <c r="P168" s="120"/>
      <c r="Q168" s="120"/>
      <c r="R168" s="120"/>
      <c r="S168" s="120"/>
      <c r="T168" s="120"/>
      <c r="U168" s="128">
        <f t="shared" si="34"/>
        <v>0</v>
      </c>
      <c r="V168" s="102">
        <f t="shared" si="35"/>
        <v>0</v>
      </c>
      <c r="W168" s="21"/>
      <c r="X168" s="21"/>
      <c r="Y168" s="21"/>
      <c r="Z168" s="21"/>
      <c r="AA168" s="102">
        <f t="shared" si="36"/>
        <v>0</v>
      </c>
      <c r="AB168" s="102">
        <f t="shared" si="37"/>
        <v>0</v>
      </c>
      <c r="AC168" s="102">
        <f t="shared" si="38"/>
        <v>0</v>
      </c>
      <c r="AD168" s="102">
        <f t="shared" si="39"/>
        <v>0</v>
      </c>
      <c r="AE168" s="102">
        <f t="shared" si="41"/>
        <v>0</v>
      </c>
      <c r="AF168" s="129">
        <f t="shared" si="42"/>
        <v>0</v>
      </c>
    </row>
    <row r="169" spans="2:32" x14ac:dyDescent="0.25">
      <c r="B169" s="4" t="s">
        <v>188</v>
      </c>
      <c r="C169" s="70"/>
      <c r="D169" s="70"/>
      <c r="E169" s="70"/>
      <c r="F169" s="102">
        <f t="shared" si="32"/>
        <v>0</v>
      </c>
      <c r="G169" s="120"/>
      <c r="H169" s="120"/>
      <c r="I169" s="120"/>
      <c r="J169" s="120"/>
      <c r="K169" s="120"/>
      <c r="L169" s="120"/>
      <c r="M169" s="128">
        <f t="shared" si="33"/>
        <v>0</v>
      </c>
      <c r="N169" s="102">
        <f t="shared" si="40"/>
        <v>0</v>
      </c>
      <c r="O169" s="120"/>
      <c r="P169" s="120"/>
      <c r="Q169" s="120"/>
      <c r="R169" s="120"/>
      <c r="S169" s="120"/>
      <c r="T169" s="120"/>
      <c r="U169" s="128">
        <f t="shared" si="34"/>
        <v>0</v>
      </c>
      <c r="V169" s="102">
        <f t="shared" si="35"/>
        <v>0</v>
      </c>
      <c r="W169" s="21"/>
      <c r="X169" s="21"/>
      <c r="Y169" s="21"/>
      <c r="Z169" s="21"/>
      <c r="AA169" s="102">
        <f t="shared" si="36"/>
        <v>0</v>
      </c>
      <c r="AB169" s="102">
        <f t="shared" si="37"/>
        <v>0</v>
      </c>
      <c r="AC169" s="102">
        <f t="shared" si="38"/>
        <v>0</v>
      </c>
      <c r="AD169" s="102">
        <f t="shared" si="39"/>
        <v>0</v>
      </c>
      <c r="AE169" s="102">
        <f t="shared" si="41"/>
        <v>0</v>
      </c>
      <c r="AF169" s="129">
        <f t="shared" si="42"/>
        <v>0</v>
      </c>
    </row>
    <row r="170" spans="2:32" x14ac:dyDescent="0.25">
      <c r="B170" s="4" t="s">
        <v>188</v>
      </c>
      <c r="C170" s="70"/>
      <c r="D170" s="70"/>
      <c r="E170" s="70"/>
      <c r="F170" s="102">
        <f t="shared" si="32"/>
        <v>0</v>
      </c>
      <c r="G170" s="120"/>
      <c r="H170" s="120"/>
      <c r="I170" s="120"/>
      <c r="J170" s="120"/>
      <c r="K170" s="120"/>
      <c r="L170" s="120"/>
      <c r="M170" s="128">
        <f t="shared" si="33"/>
        <v>0</v>
      </c>
      <c r="N170" s="102">
        <f t="shared" si="40"/>
        <v>0</v>
      </c>
      <c r="O170" s="120"/>
      <c r="P170" s="120"/>
      <c r="Q170" s="120"/>
      <c r="R170" s="120"/>
      <c r="S170" s="120"/>
      <c r="T170" s="120"/>
      <c r="U170" s="128">
        <f t="shared" si="34"/>
        <v>0</v>
      </c>
      <c r="V170" s="102">
        <f t="shared" si="35"/>
        <v>0</v>
      </c>
      <c r="W170" s="21"/>
      <c r="X170" s="21"/>
      <c r="Y170" s="21"/>
      <c r="Z170" s="21"/>
      <c r="AA170" s="102">
        <f t="shared" si="36"/>
        <v>0</v>
      </c>
      <c r="AB170" s="102">
        <f t="shared" si="37"/>
        <v>0</v>
      </c>
      <c r="AC170" s="102">
        <f t="shared" si="38"/>
        <v>0</v>
      </c>
      <c r="AD170" s="102">
        <f t="shared" si="39"/>
        <v>0</v>
      </c>
      <c r="AE170" s="102">
        <f t="shared" si="41"/>
        <v>0</v>
      </c>
      <c r="AF170" s="129">
        <f t="shared" si="42"/>
        <v>0</v>
      </c>
    </row>
    <row r="171" spans="2:32" x14ac:dyDescent="0.25">
      <c r="B171" s="4" t="s">
        <v>188</v>
      </c>
      <c r="C171" s="70"/>
      <c r="D171" s="70"/>
      <c r="E171" s="70"/>
      <c r="F171" s="102">
        <f t="shared" si="32"/>
        <v>0</v>
      </c>
      <c r="G171" s="120"/>
      <c r="H171" s="120"/>
      <c r="I171" s="120"/>
      <c r="J171" s="120"/>
      <c r="K171" s="120"/>
      <c r="L171" s="120"/>
      <c r="M171" s="128">
        <f t="shared" si="33"/>
        <v>0</v>
      </c>
      <c r="N171" s="102">
        <f t="shared" si="40"/>
        <v>0</v>
      </c>
      <c r="O171" s="120"/>
      <c r="P171" s="120"/>
      <c r="Q171" s="120"/>
      <c r="R171" s="120"/>
      <c r="S171" s="120"/>
      <c r="T171" s="120"/>
      <c r="U171" s="128">
        <f t="shared" si="34"/>
        <v>0</v>
      </c>
      <c r="V171" s="102">
        <f t="shared" si="35"/>
        <v>0</v>
      </c>
      <c r="W171" s="21"/>
      <c r="X171" s="21"/>
      <c r="Y171" s="21"/>
      <c r="Z171" s="21"/>
      <c r="AA171" s="102">
        <f t="shared" si="36"/>
        <v>0</v>
      </c>
      <c r="AB171" s="102">
        <f t="shared" si="37"/>
        <v>0</v>
      </c>
      <c r="AC171" s="102">
        <f t="shared" si="38"/>
        <v>0</v>
      </c>
      <c r="AD171" s="102">
        <f t="shared" si="39"/>
        <v>0</v>
      </c>
      <c r="AE171" s="102">
        <f t="shared" si="41"/>
        <v>0</v>
      </c>
      <c r="AF171" s="129">
        <f t="shared" si="42"/>
        <v>0</v>
      </c>
    </row>
    <row r="172" spans="2:32" x14ac:dyDescent="0.25">
      <c r="B172" s="4" t="s">
        <v>188</v>
      </c>
      <c r="C172" s="70"/>
      <c r="D172" s="70"/>
      <c r="E172" s="70"/>
      <c r="F172" s="102">
        <f t="shared" si="32"/>
        <v>0</v>
      </c>
      <c r="G172" s="120"/>
      <c r="H172" s="120"/>
      <c r="I172" s="120"/>
      <c r="J172" s="120"/>
      <c r="K172" s="120"/>
      <c r="L172" s="120"/>
      <c r="M172" s="128">
        <f t="shared" si="33"/>
        <v>0</v>
      </c>
      <c r="N172" s="102">
        <f t="shared" si="40"/>
        <v>0</v>
      </c>
      <c r="O172" s="120"/>
      <c r="P172" s="120"/>
      <c r="Q172" s="120"/>
      <c r="R172" s="120"/>
      <c r="S172" s="120"/>
      <c r="T172" s="120"/>
      <c r="U172" s="128">
        <f t="shared" si="34"/>
        <v>0</v>
      </c>
      <c r="V172" s="102">
        <f t="shared" si="35"/>
        <v>0</v>
      </c>
      <c r="W172" s="21"/>
      <c r="X172" s="21"/>
      <c r="Y172" s="21"/>
      <c r="Z172" s="21"/>
      <c r="AA172" s="102">
        <f t="shared" si="36"/>
        <v>0</v>
      </c>
      <c r="AB172" s="102">
        <f t="shared" si="37"/>
        <v>0</v>
      </c>
      <c r="AC172" s="102">
        <f t="shared" si="38"/>
        <v>0</v>
      </c>
      <c r="AD172" s="102">
        <f t="shared" si="39"/>
        <v>0</v>
      </c>
      <c r="AE172" s="102">
        <f t="shared" si="41"/>
        <v>0</v>
      </c>
      <c r="AF172" s="129">
        <f t="shared" si="42"/>
        <v>0</v>
      </c>
    </row>
    <row r="173" spans="2:32" x14ac:dyDescent="0.25">
      <c r="B173" s="4" t="s">
        <v>188</v>
      </c>
      <c r="C173" s="70"/>
      <c r="D173" s="70"/>
      <c r="E173" s="70"/>
      <c r="F173" s="102">
        <f t="shared" si="32"/>
        <v>0</v>
      </c>
      <c r="G173" s="120"/>
      <c r="H173" s="120"/>
      <c r="I173" s="120"/>
      <c r="J173" s="120"/>
      <c r="K173" s="120"/>
      <c r="L173" s="120"/>
      <c r="M173" s="128">
        <f t="shared" si="33"/>
        <v>0</v>
      </c>
      <c r="N173" s="102">
        <f t="shared" si="40"/>
        <v>0</v>
      </c>
      <c r="O173" s="120"/>
      <c r="P173" s="120"/>
      <c r="Q173" s="120"/>
      <c r="R173" s="120"/>
      <c r="S173" s="120"/>
      <c r="T173" s="120"/>
      <c r="U173" s="128">
        <f t="shared" si="34"/>
        <v>0</v>
      </c>
      <c r="V173" s="102">
        <f t="shared" si="35"/>
        <v>0</v>
      </c>
      <c r="W173" s="21"/>
      <c r="X173" s="21"/>
      <c r="Y173" s="21"/>
      <c r="Z173" s="21"/>
      <c r="AA173" s="102">
        <f t="shared" si="36"/>
        <v>0</v>
      </c>
      <c r="AB173" s="102">
        <f t="shared" si="37"/>
        <v>0</v>
      </c>
      <c r="AC173" s="102">
        <f t="shared" si="38"/>
        <v>0</v>
      </c>
      <c r="AD173" s="102">
        <f t="shared" si="39"/>
        <v>0</v>
      </c>
      <c r="AE173" s="102">
        <f t="shared" si="41"/>
        <v>0</v>
      </c>
      <c r="AF173" s="129">
        <f t="shared" si="42"/>
        <v>0</v>
      </c>
    </row>
    <row r="174" spans="2:32" x14ac:dyDescent="0.25">
      <c r="B174" s="4" t="s">
        <v>188</v>
      </c>
      <c r="C174" s="70"/>
      <c r="D174" s="70"/>
      <c r="E174" s="70"/>
      <c r="F174" s="102">
        <f t="shared" si="32"/>
        <v>0</v>
      </c>
      <c r="G174" s="120"/>
      <c r="H174" s="120"/>
      <c r="I174" s="120"/>
      <c r="J174" s="120"/>
      <c r="K174" s="120"/>
      <c r="L174" s="120"/>
      <c r="M174" s="128">
        <f t="shared" si="33"/>
        <v>0</v>
      </c>
      <c r="N174" s="102">
        <f t="shared" si="40"/>
        <v>0</v>
      </c>
      <c r="O174" s="120"/>
      <c r="P174" s="120"/>
      <c r="Q174" s="120"/>
      <c r="R174" s="120"/>
      <c r="S174" s="120"/>
      <c r="T174" s="120"/>
      <c r="U174" s="128">
        <f t="shared" si="34"/>
        <v>0</v>
      </c>
      <c r="V174" s="102">
        <f t="shared" si="35"/>
        <v>0</v>
      </c>
      <c r="W174" s="21"/>
      <c r="X174" s="21"/>
      <c r="Y174" s="21"/>
      <c r="Z174" s="21"/>
      <c r="AA174" s="102">
        <f t="shared" si="36"/>
        <v>0</v>
      </c>
      <c r="AB174" s="102">
        <f t="shared" si="37"/>
        <v>0</v>
      </c>
      <c r="AC174" s="102">
        <f t="shared" si="38"/>
        <v>0</v>
      </c>
      <c r="AD174" s="102">
        <f t="shared" si="39"/>
        <v>0</v>
      </c>
      <c r="AE174" s="102">
        <f t="shared" si="41"/>
        <v>0</v>
      </c>
      <c r="AF174" s="129">
        <f t="shared" si="42"/>
        <v>0</v>
      </c>
    </row>
    <row r="175" spans="2:32" x14ac:dyDescent="0.25">
      <c r="B175" s="4" t="s">
        <v>188</v>
      </c>
      <c r="C175" s="70"/>
      <c r="D175" s="70"/>
      <c r="E175" s="70"/>
      <c r="F175" s="102">
        <f t="shared" si="32"/>
        <v>0</v>
      </c>
      <c r="G175" s="120"/>
      <c r="H175" s="120"/>
      <c r="I175" s="120"/>
      <c r="J175" s="120"/>
      <c r="K175" s="120"/>
      <c r="L175" s="120"/>
      <c r="M175" s="128">
        <f t="shared" si="33"/>
        <v>0</v>
      </c>
      <c r="N175" s="102">
        <f t="shared" si="40"/>
        <v>0</v>
      </c>
      <c r="O175" s="120"/>
      <c r="P175" s="120"/>
      <c r="Q175" s="120"/>
      <c r="R175" s="120"/>
      <c r="S175" s="120"/>
      <c r="T175" s="120"/>
      <c r="U175" s="128">
        <f t="shared" si="34"/>
        <v>0</v>
      </c>
      <c r="V175" s="102">
        <f t="shared" si="35"/>
        <v>0</v>
      </c>
      <c r="W175" s="21"/>
      <c r="X175" s="21"/>
      <c r="Y175" s="21"/>
      <c r="Z175" s="21"/>
      <c r="AA175" s="102">
        <f t="shared" si="36"/>
        <v>0</v>
      </c>
      <c r="AB175" s="102">
        <f t="shared" si="37"/>
        <v>0</v>
      </c>
      <c r="AC175" s="102">
        <f t="shared" si="38"/>
        <v>0</v>
      </c>
      <c r="AD175" s="102">
        <f t="shared" si="39"/>
        <v>0</v>
      </c>
      <c r="AE175" s="102">
        <f t="shared" si="41"/>
        <v>0</v>
      </c>
      <c r="AF175" s="129">
        <f t="shared" si="42"/>
        <v>0</v>
      </c>
    </row>
    <row r="176" spans="2:32" x14ac:dyDescent="0.25">
      <c r="B176" s="4" t="s">
        <v>188</v>
      </c>
      <c r="C176" s="70"/>
      <c r="D176" s="70"/>
      <c r="E176" s="70"/>
      <c r="F176" s="102">
        <f t="shared" si="32"/>
        <v>0</v>
      </c>
      <c r="G176" s="120"/>
      <c r="H176" s="120"/>
      <c r="I176" s="120"/>
      <c r="J176" s="120"/>
      <c r="K176" s="120"/>
      <c r="L176" s="120"/>
      <c r="M176" s="128">
        <f t="shared" si="33"/>
        <v>0</v>
      </c>
      <c r="N176" s="102">
        <f t="shared" si="40"/>
        <v>0</v>
      </c>
      <c r="O176" s="120"/>
      <c r="P176" s="120"/>
      <c r="Q176" s="120"/>
      <c r="R176" s="120"/>
      <c r="S176" s="120"/>
      <c r="T176" s="120"/>
      <c r="U176" s="128">
        <f t="shared" si="34"/>
        <v>0</v>
      </c>
      <c r="V176" s="102">
        <f t="shared" si="35"/>
        <v>0</v>
      </c>
      <c r="W176" s="21"/>
      <c r="X176" s="21"/>
      <c r="Y176" s="21"/>
      <c r="Z176" s="21"/>
      <c r="AA176" s="102">
        <f t="shared" si="36"/>
        <v>0</v>
      </c>
      <c r="AB176" s="102">
        <f t="shared" si="37"/>
        <v>0</v>
      </c>
      <c r="AC176" s="102">
        <f t="shared" si="38"/>
        <v>0</v>
      </c>
      <c r="AD176" s="102">
        <f t="shared" si="39"/>
        <v>0</v>
      </c>
      <c r="AE176" s="102">
        <f t="shared" si="41"/>
        <v>0</v>
      </c>
      <c r="AF176" s="129">
        <f t="shared" si="42"/>
        <v>0</v>
      </c>
    </row>
    <row r="177" spans="2:32" x14ac:dyDescent="0.25">
      <c r="B177" s="4" t="s">
        <v>188</v>
      </c>
      <c r="C177" s="70"/>
      <c r="D177" s="70"/>
      <c r="E177" s="70"/>
      <c r="F177" s="102">
        <f t="shared" si="32"/>
        <v>0</v>
      </c>
      <c r="G177" s="120"/>
      <c r="H177" s="120"/>
      <c r="I177" s="120"/>
      <c r="J177" s="120"/>
      <c r="K177" s="120"/>
      <c r="L177" s="120"/>
      <c r="M177" s="128">
        <f t="shared" si="33"/>
        <v>0</v>
      </c>
      <c r="N177" s="102">
        <f t="shared" si="40"/>
        <v>0</v>
      </c>
      <c r="O177" s="120"/>
      <c r="P177" s="120"/>
      <c r="Q177" s="120"/>
      <c r="R177" s="120"/>
      <c r="S177" s="120"/>
      <c r="T177" s="120"/>
      <c r="U177" s="128">
        <f t="shared" si="34"/>
        <v>0</v>
      </c>
      <c r="V177" s="102">
        <f t="shared" si="35"/>
        <v>0</v>
      </c>
      <c r="W177" s="21"/>
      <c r="X177" s="21"/>
      <c r="Y177" s="21"/>
      <c r="Z177" s="21"/>
      <c r="AA177" s="102">
        <f t="shared" si="36"/>
        <v>0</v>
      </c>
      <c r="AB177" s="102">
        <f t="shared" si="37"/>
        <v>0</v>
      </c>
      <c r="AC177" s="102">
        <f t="shared" si="38"/>
        <v>0</v>
      </c>
      <c r="AD177" s="102">
        <f t="shared" si="39"/>
        <v>0</v>
      </c>
      <c r="AE177" s="102">
        <f t="shared" si="41"/>
        <v>0</v>
      </c>
      <c r="AF177" s="129">
        <f t="shared" si="42"/>
        <v>0</v>
      </c>
    </row>
    <row r="178" spans="2:32" x14ac:dyDescent="0.25">
      <c r="B178" s="4" t="s">
        <v>188</v>
      </c>
      <c r="C178" s="70"/>
      <c r="D178" s="70"/>
      <c r="E178" s="70"/>
      <c r="F178" s="102">
        <f t="shared" si="32"/>
        <v>0</v>
      </c>
      <c r="G178" s="120"/>
      <c r="H178" s="120"/>
      <c r="I178" s="120"/>
      <c r="J178" s="120"/>
      <c r="K178" s="120"/>
      <c r="L178" s="120"/>
      <c r="M178" s="128">
        <f t="shared" si="33"/>
        <v>0</v>
      </c>
      <c r="N178" s="102">
        <f t="shared" si="40"/>
        <v>0</v>
      </c>
      <c r="O178" s="120"/>
      <c r="P178" s="120"/>
      <c r="Q178" s="120"/>
      <c r="R178" s="120"/>
      <c r="S178" s="120"/>
      <c r="T178" s="120"/>
      <c r="U178" s="128">
        <f t="shared" si="34"/>
        <v>0</v>
      </c>
      <c r="V178" s="102">
        <f t="shared" si="35"/>
        <v>0</v>
      </c>
      <c r="W178" s="21"/>
      <c r="X178" s="21"/>
      <c r="Y178" s="21"/>
      <c r="Z178" s="21"/>
      <c r="AA178" s="102">
        <f t="shared" si="36"/>
        <v>0</v>
      </c>
      <c r="AB178" s="102">
        <f t="shared" si="37"/>
        <v>0</v>
      </c>
      <c r="AC178" s="102">
        <f t="shared" si="38"/>
        <v>0</v>
      </c>
      <c r="AD178" s="102">
        <f t="shared" si="39"/>
        <v>0</v>
      </c>
      <c r="AE178" s="102">
        <f t="shared" si="41"/>
        <v>0</v>
      </c>
      <c r="AF178" s="129">
        <f t="shared" si="42"/>
        <v>0</v>
      </c>
    </row>
    <row r="179" spans="2:32" x14ac:dyDescent="0.25">
      <c r="B179" s="4" t="s">
        <v>188</v>
      </c>
      <c r="C179" s="70"/>
      <c r="D179" s="70"/>
      <c r="E179" s="70"/>
      <c r="F179" s="102">
        <f t="shared" si="32"/>
        <v>0</v>
      </c>
      <c r="G179" s="120"/>
      <c r="H179" s="120"/>
      <c r="I179" s="120"/>
      <c r="J179" s="120"/>
      <c r="K179" s="120"/>
      <c r="L179" s="120"/>
      <c r="M179" s="128">
        <f t="shared" si="33"/>
        <v>0</v>
      </c>
      <c r="N179" s="102">
        <f t="shared" si="40"/>
        <v>0</v>
      </c>
      <c r="O179" s="120"/>
      <c r="P179" s="120"/>
      <c r="Q179" s="120"/>
      <c r="R179" s="120"/>
      <c r="S179" s="120"/>
      <c r="T179" s="120"/>
      <c r="U179" s="128">
        <f t="shared" si="34"/>
        <v>0</v>
      </c>
      <c r="V179" s="102">
        <f t="shared" si="35"/>
        <v>0</v>
      </c>
      <c r="W179" s="21"/>
      <c r="X179" s="21"/>
      <c r="Y179" s="21"/>
      <c r="Z179" s="21"/>
      <c r="AA179" s="102">
        <f t="shared" si="36"/>
        <v>0</v>
      </c>
      <c r="AB179" s="102">
        <f t="shared" si="37"/>
        <v>0</v>
      </c>
      <c r="AC179" s="102">
        <f t="shared" si="38"/>
        <v>0</v>
      </c>
      <c r="AD179" s="102">
        <f t="shared" si="39"/>
        <v>0</v>
      </c>
      <c r="AE179" s="102">
        <f t="shared" si="41"/>
        <v>0</v>
      </c>
      <c r="AF179" s="129">
        <f t="shared" si="42"/>
        <v>0</v>
      </c>
    </row>
    <row r="180" spans="2:32" x14ac:dyDescent="0.25">
      <c r="B180" s="4" t="s">
        <v>188</v>
      </c>
      <c r="C180" s="70"/>
      <c r="D180" s="70"/>
      <c r="E180" s="70"/>
      <c r="F180" s="102">
        <f t="shared" si="32"/>
        <v>0</v>
      </c>
      <c r="G180" s="120"/>
      <c r="H180" s="120"/>
      <c r="I180" s="120"/>
      <c r="J180" s="120"/>
      <c r="K180" s="120"/>
      <c r="L180" s="120"/>
      <c r="M180" s="128">
        <f t="shared" si="33"/>
        <v>0</v>
      </c>
      <c r="N180" s="102">
        <f t="shared" si="40"/>
        <v>0</v>
      </c>
      <c r="O180" s="120"/>
      <c r="P180" s="120"/>
      <c r="Q180" s="120"/>
      <c r="R180" s="120"/>
      <c r="S180" s="120"/>
      <c r="T180" s="120"/>
      <c r="U180" s="128">
        <f t="shared" si="34"/>
        <v>0</v>
      </c>
      <c r="V180" s="102">
        <f t="shared" si="35"/>
        <v>0</v>
      </c>
      <c r="W180" s="21"/>
      <c r="X180" s="21"/>
      <c r="Y180" s="21"/>
      <c r="Z180" s="21"/>
      <c r="AA180" s="102">
        <f t="shared" si="36"/>
        <v>0</v>
      </c>
      <c r="AB180" s="102">
        <f t="shared" si="37"/>
        <v>0</v>
      </c>
      <c r="AC180" s="102">
        <f t="shared" si="38"/>
        <v>0</v>
      </c>
      <c r="AD180" s="102">
        <f t="shared" si="39"/>
        <v>0</v>
      </c>
      <c r="AE180" s="102">
        <f t="shared" si="41"/>
        <v>0</v>
      </c>
      <c r="AF180" s="129">
        <f t="shared" si="42"/>
        <v>0</v>
      </c>
    </row>
    <row r="181" spans="2:32" x14ac:dyDescent="0.25">
      <c r="B181" s="4" t="s">
        <v>188</v>
      </c>
      <c r="C181" s="70"/>
      <c r="D181" s="70"/>
      <c r="E181" s="70"/>
      <c r="F181" s="102">
        <f t="shared" si="32"/>
        <v>0</v>
      </c>
      <c r="G181" s="120"/>
      <c r="H181" s="120"/>
      <c r="I181" s="120"/>
      <c r="J181" s="120"/>
      <c r="K181" s="120"/>
      <c r="L181" s="120"/>
      <c r="M181" s="128">
        <f t="shared" si="33"/>
        <v>0</v>
      </c>
      <c r="N181" s="102">
        <f t="shared" si="40"/>
        <v>0</v>
      </c>
      <c r="O181" s="120"/>
      <c r="P181" s="120"/>
      <c r="Q181" s="120"/>
      <c r="R181" s="120"/>
      <c r="S181" s="120"/>
      <c r="T181" s="120"/>
      <c r="U181" s="128">
        <f t="shared" si="34"/>
        <v>0</v>
      </c>
      <c r="V181" s="102">
        <f t="shared" si="35"/>
        <v>0</v>
      </c>
      <c r="W181" s="21"/>
      <c r="X181" s="21"/>
      <c r="Y181" s="21"/>
      <c r="Z181" s="21"/>
      <c r="AA181" s="102">
        <f t="shared" si="36"/>
        <v>0</v>
      </c>
      <c r="AB181" s="102">
        <f t="shared" si="37"/>
        <v>0</v>
      </c>
      <c r="AC181" s="102">
        <f t="shared" si="38"/>
        <v>0</v>
      </c>
      <c r="AD181" s="102">
        <f t="shared" si="39"/>
        <v>0</v>
      </c>
      <c r="AE181" s="102">
        <f t="shared" si="41"/>
        <v>0</v>
      </c>
      <c r="AF181" s="129">
        <f t="shared" si="42"/>
        <v>0</v>
      </c>
    </row>
    <row r="182" spans="2:32" x14ac:dyDescent="0.25">
      <c r="B182" s="4" t="s">
        <v>188</v>
      </c>
      <c r="C182" s="70"/>
      <c r="D182" s="70"/>
      <c r="E182" s="70"/>
      <c r="F182" s="102">
        <f t="shared" si="32"/>
        <v>0</v>
      </c>
      <c r="G182" s="120"/>
      <c r="H182" s="120"/>
      <c r="I182" s="120"/>
      <c r="J182" s="120"/>
      <c r="K182" s="120"/>
      <c r="L182" s="120"/>
      <c r="M182" s="128">
        <f t="shared" si="33"/>
        <v>0</v>
      </c>
      <c r="N182" s="102">
        <f t="shared" si="40"/>
        <v>0</v>
      </c>
      <c r="O182" s="120"/>
      <c r="P182" s="120"/>
      <c r="Q182" s="120"/>
      <c r="R182" s="120"/>
      <c r="S182" s="120"/>
      <c r="T182" s="120"/>
      <c r="U182" s="128">
        <f t="shared" si="34"/>
        <v>0</v>
      </c>
      <c r="V182" s="102">
        <f t="shared" si="35"/>
        <v>0</v>
      </c>
      <c r="W182" s="21"/>
      <c r="X182" s="21"/>
      <c r="Y182" s="21"/>
      <c r="Z182" s="21"/>
      <c r="AA182" s="102">
        <f t="shared" si="36"/>
        <v>0</v>
      </c>
      <c r="AB182" s="102">
        <f t="shared" si="37"/>
        <v>0</v>
      </c>
      <c r="AC182" s="102">
        <f t="shared" si="38"/>
        <v>0</v>
      </c>
      <c r="AD182" s="102">
        <f t="shared" si="39"/>
        <v>0</v>
      </c>
      <c r="AE182" s="102">
        <f t="shared" si="41"/>
        <v>0</v>
      </c>
      <c r="AF182" s="129">
        <f t="shared" si="42"/>
        <v>0</v>
      </c>
    </row>
    <row r="183" spans="2:32" x14ac:dyDescent="0.25">
      <c r="B183" s="4" t="s">
        <v>188</v>
      </c>
      <c r="C183" s="70"/>
      <c r="D183" s="70"/>
      <c r="E183" s="70"/>
      <c r="F183" s="102">
        <f t="shared" si="32"/>
        <v>0</v>
      </c>
      <c r="G183" s="120"/>
      <c r="H183" s="120"/>
      <c r="I183" s="120"/>
      <c r="J183" s="120"/>
      <c r="K183" s="120"/>
      <c r="L183" s="120"/>
      <c r="M183" s="128">
        <f t="shared" si="33"/>
        <v>0</v>
      </c>
      <c r="N183" s="102">
        <f t="shared" si="40"/>
        <v>0</v>
      </c>
      <c r="O183" s="120"/>
      <c r="P183" s="120"/>
      <c r="Q183" s="120"/>
      <c r="R183" s="120"/>
      <c r="S183" s="120"/>
      <c r="T183" s="120"/>
      <c r="U183" s="128">
        <f t="shared" si="34"/>
        <v>0</v>
      </c>
      <c r="V183" s="102">
        <f t="shared" si="35"/>
        <v>0</v>
      </c>
      <c r="W183" s="21"/>
      <c r="X183" s="21"/>
      <c r="Y183" s="21"/>
      <c r="Z183" s="21"/>
      <c r="AA183" s="102">
        <f t="shared" si="36"/>
        <v>0</v>
      </c>
      <c r="AB183" s="102">
        <f t="shared" si="37"/>
        <v>0</v>
      </c>
      <c r="AC183" s="102">
        <f t="shared" si="38"/>
        <v>0</v>
      </c>
      <c r="AD183" s="102">
        <f t="shared" si="39"/>
        <v>0</v>
      </c>
      <c r="AE183" s="102">
        <f t="shared" si="41"/>
        <v>0</v>
      </c>
      <c r="AF183" s="129">
        <f t="shared" si="42"/>
        <v>0</v>
      </c>
    </row>
    <row r="184" spans="2:32" x14ac:dyDescent="0.25">
      <c r="B184" s="4" t="s">
        <v>188</v>
      </c>
      <c r="C184" s="70"/>
      <c r="D184" s="70"/>
      <c r="E184" s="70"/>
      <c r="F184" s="102">
        <f t="shared" si="32"/>
        <v>0</v>
      </c>
      <c r="G184" s="120"/>
      <c r="H184" s="120"/>
      <c r="I184" s="120"/>
      <c r="J184" s="120"/>
      <c r="K184" s="120"/>
      <c r="L184" s="120"/>
      <c r="M184" s="128">
        <f t="shared" si="33"/>
        <v>0</v>
      </c>
      <c r="N184" s="102">
        <f t="shared" si="40"/>
        <v>0</v>
      </c>
      <c r="O184" s="120"/>
      <c r="P184" s="120"/>
      <c r="Q184" s="120"/>
      <c r="R184" s="120"/>
      <c r="S184" s="120"/>
      <c r="T184" s="120"/>
      <c r="U184" s="128">
        <f t="shared" si="34"/>
        <v>0</v>
      </c>
      <c r="V184" s="102">
        <f t="shared" si="35"/>
        <v>0</v>
      </c>
      <c r="W184" s="21"/>
      <c r="X184" s="21"/>
      <c r="Y184" s="21"/>
      <c r="Z184" s="21"/>
      <c r="AA184" s="102">
        <f t="shared" si="36"/>
        <v>0</v>
      </c>
      <c r="AB184" s="102">
        <f t="shared" si="37"/>
        <v>0</v>
      </c>
      <c r="AC184" s="102">
        <f t="shared" si="38"/>
        <v>0</v>
      </c>
      <c r="AD184" s="102">
        <f t="shared" si="39"/>
        <v>0</v>
      </c>
      <c r="AE184" s="102">
        <f t="shared" si="41"/>
        <v>0</v>
      </c>
      <c r="AF184" s="129">
        <f t="shared" si="42"/>
        <v>0</v>
      </c>
    </row>
    <row r="185" spans="2:32" x14ac:dyDescent="0.25">
      <c r="B185" s="4" t="s">
        <v>188</v>
      </c>
      <c r="C185" s="70"/>
      <c r="D185" s="70"/>
      <c r="E185" s="70"/>
      <c r="F185" s="102">
        <f t="shared" si="32"/>
        <v>0</v>
      </c>
      <c r="G185" s="120"/>
      <c r="H185" s="120"/>
      <c r="I185" s="120"/>
      <c r="J185" s="120"/>
      <c r="K185" s="120"/>
      <c r="L185" s="120"/>
      <c r="M185" s="128">
        <f t="shared" si="33"/>
        <v>0</v>
      </c>
      <c r="N185" s="102">
        <f t="shared" si="40"/>
        <v>0</v>
      </c>
      <c r="O185" s="120"/>
      <c r="P185" s="120"/>
      <c r="Q185" s="120"/>
      <c r="R185" s="120"/>
      <c r="S185" s="120"/>
      <c r="T185" s="120"/>
      <c r="U185" s="128">
        <f t="shared" si="34"/>
        <v>0</v>
      </c>
      <c r="V185" s="102">
        <f t="shared" si="35"/>
        <v>0</v>
      </c>
      <c r="W185" s="21"/>
      <c r="X185" s="21"/>
      <c r="Y185" s="21"/>
      <c r="Z185" s="21"/>
      <c r="AA185" s="102">
        <f t="shared" si="36"/>
        <v>0</v>
      </c>
      <c r="AB185" s="102">
        <f t="shared" si="37"/>
        <v>0</v>
      </c>
      <c r="AC185" s="102">
        <f t="shared" si="38"/>
        <v>0</v>
      </c>
      <c r="AD185" s="102">
        <f t="shared" si="39"/>
        <v>0</v>
      </c>
      <c r="AE185" s="102">
        <f t="shared" si="41"/>
        <v>0</v>
      </c>
      <c r="AF185" s="129">
        <f t="shared" si="42"/>
        <v>0</v>
      </c>
    </row>
    <row r="186" spans="2:32" x14ac:dyDescent="0.25">
      <c r="B186" s="4" t="s">
        <v>188</v>
      </c>
      <c r="C186" s="70"/>
      <c r="D186" s="70"/>
      <c r="E186" s="70"/>
      <c r="F186" s="102">
        <f t="shared" si="32"/>
        <v>0</v>
      </c>
      <c r="G186" s="120"/>
      <c r="H186" s="120"/>
      <c r="I186" s="120"/>
      <c r="J186" s="120"/>
      <c r="K186" s="120"/>
      <c r="L186" s="120"/>
      <c r="M186" s="128">
        <f t="shared" si="33"/>
        <v>0</v>
      </c>
      <c r="N186" s="102">
        <f t="shared" si="40"/>
        <v>0</v>
      </c>
      <c r="O186" s="120"/>
      <c r="P186" s="120"/>
      <c r="Q186" s="120"/>
      <c r="R186" s="120"/>
      <c r="S186" s="120"/>
      <c r="T186" s="120"/>
      <c r="U186" s="128">
        <f t="shared" si="34"/>
        <v>0</v>
      </c>
      <c r="V186" s="102">
        <f t="shared" si="35"/>
        <v>0</v>
      </c>
      <c r="W186" s="21"/>
      <c r="X186" s="21"/>
      <c r="Y186" s="21"/>
      <c r="Z186" s="21"/>
      <c r="AA186" s="102">
        <f t="shared" si="36"/>
        <v>0</v>
      </c>
      <c r="AB186" s="102">
        <f t="shared" si="37"/>
        <v>0</v>
      </c>
      <c r="AC186" s="102">
        <f t="shared" si="38"/>
        <v>0</v>
      </c>
      <c r="AD186" s="102">
        <f t="shared" si="39"/>
        <v>0</v>
      </c>
      <c r="AE186" s="102">
        <f t="shared" si="41"/>
        <v>0</v>
      </c>
      <c r="AF186" s="129">
        <f t="shared" si="42"/>
        <v>0</v>
      </c>
    </row>
    <row r="187" spans="2:32" x14ac:dyDescent="0.25">
      <c r="B187" s="4" t="s">
        <v>188</v>
      </c>
      <c r="C187" s="70"/>
      <c r="D187" s="70"/>
      <c r="E187" s="70"/>
      <c r="F187" s="102">
        <f t="shared" si="32"/>
        <v>0</v>
      </c>
      <c r="G187" s="120"/>
      <c r="H187" s="120"/>
      <c r="I187" s="120"/>
      <c r="J187" s="120"/>
      <c r="K187" s="120"/>
      <c r="L187" s="120"/>
      <c r="M187" s="128">
        <f t="shared" si="33"/>
        <v>0</v>
      </c>
      <c r="N187" s="102">
        <f t="shared" si="40"/>
        <v>0</v>
      </c>
      <c r="O187" s="120"/>
      <c r="P187" s="120"/>
      <c r="Q187" s="120"/>
      <c r="R187" s="120"/>
      <c r="S187" s="120"/>
      <c r="T187" s="120"/>
      <c r="U187" s="128">
        <f t="shared" si="34"/>
        <v>0</v>
      </c>
      <c r="V187" s="102">
        <f t="shared" si="35"/>
        <v>0</v>
      </c>
      <c r="W187" s="21"/>
      <c r="X187" s="21"/>
      <c r="Y187" s="21"/>
      <c r="Z187" s="21"/>
      <c r="AA187" s="102">
        <f t="shared" si="36"/>
        <v>0</v>
      </c>
      <c r="AB187" s="102">
        <f t="shared" si="37"/>
        <v>0</v>
      </c>
      <c r="AC187" s="102">
        <f t="shared" si="38"/>
        <v>0</v>
      </c>
      <c r="AD187" s="102">
        <f t="shared" si="39"/>
        <v>0</v>
      </c>
      <c r="AE187" s="102">
        <f t="shared" si="41"/>
        <v>0</v>
      </c>
      <c r="AF187" s="129">
        <f t="shared" si="42"/>
        <v>0</v>
      </c>
    </row>
    <row r="188" spans="2:32" x14ac:dyDescent="0.25">
      <c r="B188" s="4" t="s">
        <v>188</v>
      </c>
      <c r="C188" s="70"/>
      <c r="D188" s="70"/>
      <c r="E188" s="70"/>
      <c r="F188" s="102">
        <f t="shared" si="32"/>
        <v>0</v>
      </c>
      <c r="G188" s="120"/>
      <c r="H188" s="120"/>
      <c r="I188" s="120"/>
      <c r="J188" s="120"/>
      <c r="K188" s="120"/>
      <c r="L188" s="120"/>
      <c r="M188" s="128">
        <f t="shared" si="33"/>
        <v>0</v>
      </c>
      <c r="N188" s="102">
        <f t="shared" si="40"/>
        <v>0</v>
      </c>
      <c r="O188" s="120"/>
      <c r="P188" s="120"/>
      <c r="Q188" s="120"/>
      <c r="R188" s="120"/>
      <c r="S188" s="120"/>
      <c r="T188" s="120"/>
      <c r="U188" s="128">
        <f t="shared" si="34"/>
        <v>0</v>
      </c>
      <c r="V188" s="102">
        <f t="shared" si="35"/>
        <v>0</v>
      </c>
      <c r="W188" s="21"/>
      <c r="X188" s="21"/>
      <c r="Y188" s="21"/>
      <c r="Z188" s="21"/>
      <c r="AA188" s="102">
        <f t="shared" si="36"/>
        <v>0</v>
      </c>
      <c r="AB188" s="102">
        <f t="shared" si="37"/>
        <v>0</v>
      </c>
      <c r="AC188" s="102">
        <f t="shared" si="38"/>
        <v>0</v>
      </c>
      <c r="AD188" s="102">
        <f t="shared" si="39"/>
        <v>0</v>
      </c>
      <c r="AE188" s="102">
        <f t="shared" si="41"/>
        <v>0</v>
      </c>
      <c r="AF188" s="129">
        <f t="shared" si="42"/>
        <v>0</v>
      </c>
    </row>
    <row r="189" spans="2:32" x14ac:dyDescent="0.25">
      <c r="B189" s="4" t="s">
        <v>188</v>
      </c>
      <c r="C189" s="70"/>
      <c r="D189" s="70"/>
      <c r="E189" s="70"/>
      <c r="F189" s="102">
        <f t="shared" si="32"/>
        <v>0</v>
      </c>
      <c r="G189" s="120"/>
      <c r="H189" s="120"/>
      <c r="I189" s="120"/>
      <c r="J189" s="120"/>
      <c r="K189" s="120"/>
      <c r="L189" s="120"/>
      <c r="M189" s="128">
        <f t="shared" si="33"/>
        <v>0</v>
      </c>
      <c r="N189" s="102">
        <f t="shared" si="40"/>
        <v>0</v>
      </c>
      <c r="O189" s="120"/>
      <c r="P189" s="120"/>
      <c r="Q189" s="120"/>
      <c r="R189" s="120"/>
      <c r="S189" s="120"/>
      <c r="T189" s="120"/>
      <c r="U189" s="128">
        <f t="shared" si="34"/>
        <v>0</v>
      </c>
      <c r="V189" s="102">
        <f t="shared" si="35"/>
        <v>0</v>
      </c>
      <c r="W189" s="21"/>
      <c r="X189" s="21"/>
      <c r="Y189" s="21"/>
      <c r="Z189" s="21"/>
      <c r="AA189" s="102">
        <f t="shared" si="36"/>
        <v>0</v>
      </c>
      <c r="AB189" s="102">
        <f t="shared" si="37"/>
        <v>0</v>
      </c>
      <c r="AC189" s="102">
        <f t="shared" si="38"/>
        <v>0</v>
      </c>
      <c r="AD189" s="102">
        <f t="shared" si="39"/>
        <v>0</v>
      </c>
      <c r="AE189" s="102">
        <f t="shared" si="41"/>
        <v>0</v>
      </c>
      <c r="AF189" s="129">
        <f t="shared" si="42"/>
        <v>0</v>
      </c>
    </row>
    <row r="190" spans="2:32" x14ac:dyDescent="0.25">
      <c r="B190" s="4" t="s">
        <v>188</v>
      </c>
      <c r="C190" s="70"/>
      <c r="D190" s="70"/>
      <c r="E190" s="70"/>
      <c r="F190" s="102">
        <f t="shared" si="32"/>
        <v>0</v>
      </c>
      <c r="G190" s="120"/>
      <c r="H190" s="120"/>
      <c r="I190" s="120"/>
      <c r="J190" s="120"/>
      <c r="K190" s="120"/>
      <c r="L190" s="120"/>
      <c r="M190" s="128">
        <f t="shared" si="33"/>
        <v>0</v>
      </c>
      <c r="N190" s="102">
        <f t="shared" si="40"/>
        <v>0</v>
      </c>
      <c r="O190" s="120"/>
      <c r="P190" s="120"/>
      <c r="Q190" s="120"/>
      <c r="R190" s="120"/>
      <c r="S190" s="120"/>
      <c r="T190" s="120"/>
      <c r="U190" s="128">
        <f t="shared" si="34"/>
        <v>0</v>
      </c>
      <c r="V190" s="102">
        <f t="shared" si="35"/>
        <v>0</v>
      </c>
      <c r="W190" s="21"/>
      <c r="X190" s="21"/>
      <c r="Y190" s="21"/>
      <c r="Z190" s="21"/>
      <c r="AA190" s="102">
        <f t="shared" si="36"/>
        <v>0</v>
      </c>
      <c r="AB190" s="102">
        <f t="shared" si="37"/>
        <v>0</v>
      </c>
      <c r="AC190" s="102">
        <f t="shared" si="38"/>
        <v>0</v>
      </c>
      <c r="AD190" s="102">
        <f t="shared" si="39"/>
        <v>0</v>
      </c>
      <c r="AE190" s="102">
        <f t="shared" si="41"/>
        <v>0</v>
      </c>
      <c r="AF190" s="129">
        <f t="shared" si="42"/>
        <v>0</v>
      </c>
    </row>
    <row r="191" spans="2:32" x14ac:dyDescent="0.25">
      <c r="B191" s="4" t="s">
        <v>188</v>
      </c>
      <c r="C191" s="70"/>
      <c r="D191" s="70"/>
      <c r="E191" s="70"/>
      <c r="F191" s="102">
        <f t="shared" si="32"/>
        <v>0</v>
      </c>
      <c r="G191" s="120"/>
      <c r="H191" s="120"/>
      <c r="I191" s="120"/>
      <c r="J191" s="120"/>
      <c r="K191" s="120"/>
      <c r="L191" s="120"/>
      <c r="M191" s="128">
        <f t="shared" si="33"/>
        <v>0</v>
      </c>
      <c r="N191" s="102">
        <f t="shared" si="40"/>
        <v>0</v>
      </c>
      <c r="O191" s="120"/>
      <c r="P191" s="120"/>
      <c r="Q191" s="120"/>
      <c r="R191" s="120"/>
      <c r="S191" s="120"/>
      <c r="T191" s="120"/>
      <c r="U191" s="128">
        <f t="shared" si="34"/>
        <v>0</v>
      </c>
      <c r="V191" s="102">
        <f t="shared" si="35"/>
        <v>0</v>
      </c>
      <c r="W191" s="21"/>
      <c r="X191" s="21"/>
      <c r="Y191" s="21"/>
      <c r="Z191" s="21"/>
      <c r="AA191" s="102">
        <f t="shared" si="36"/>
        <v>0</v>
      </c>
      <c r="AB191" s="102">
        <f t="shared" si="37"/>
        <v>0</v>
      </c>
      <c r="AC191" s="102">
        <f t="shared" si="38"/>
        <v>0</v>
      </c>
      <c r="AD191" s="102">
        <f t="shared" si="39"/>
        <v>0</v>
      </c>
      <c r="AE191" s="102">
        <f t="shared" si="41"/>
        <v>0</v>
      </c>
      <c r="AF191" s="129">
        <f t="shared" si="42"/>
        <v>0</v>
      </c>
    </row>
    <row r="192" spans="2:32" x14ac:dyDescent="0.25">
      <c r="B192" s="4" t="s">
        <v>188</v>
      </c>
      <c r="C192" s="70"/>
      <c r="D192" s="70"/>
      <c r="E192" s="70"/>
      <c r="F192" s="102">
        <f t="shared" si="32"/>
        <v>0</v>
      </c>
      <c r="G192" s="120"/>
      <c r="H192" s="120"/>
      <c r="I192" s="120"/>
      <c r="J192" s="120"/>
      <c r="K192" s="120"/>
      <c r="L192" s="120"/>
      <c r="M192" s="128">
        <f t="shared" si="33"/>
        <v>0</v>
      </c>
      <c r="N192" s="102">
        <f t="shared" si="40"/>
        <v>0</v>
      </c>
      <c r="O192" s="120"/>
      <c r="P192" s="120"/>
      <c r="Q192" s="120"/>
      <c r="R192" s="120"/>
      <c r="S192" s="120"/>
      <c r="T192" s="120"/>
      <c r="U192" s="128">
        <f t="shared" si="34"/>
        <v>0</v>
      </c>
      <c r="V192" s="102">
        <f t="shared" si="35"/>
        <v>0</v>
      </c>
      <c r="W192" s="21"/>
      <c r="X192" s="21"/>
      <c r="Y192" s="21"/>
      <c r="Z192" s="21"/>
      <c r="AA192" s="102">
        <f t="shared" si="36"/>
        <v>0</v>
      </c>
      <c r="AB192" s="102">
        <f t="shared" si="37"/>
        <v>0</v>
      </c>
      <c r="AC192" s="102">
        <f t="shared" si="38"/>
        <v>0</v>
      </c>
      <c r="AD192" s="102">
        <f t="shared" si="39"/>
        <v>0</v>
      </c>
      <c r="AE192" s="102">
        <f t="shared" si="41"/>
        <v>0</v>
      </c>
      <c r="AF192" s="129">
        <f t="shared" si="42"/>
        <v>0</v>
      </c>
    </row>
    <row r="193" spans="2:32" x14ac:dyDescent="0.25">
      <c r="B193" s="4" t="s">
        <v>188</v>
      </c>
      <c r="C193" s="70"/>
      <c r="D193" s="70"/>
      <c r="E193" s="70"/>
      <c r="F193" s="102">
        <f t="shared" si="32"/>
        <v>0</v>
      </c>
      <c r="G193" s="120"/>
      <c r="H193" s="120"/>
      <c r="I193" s="120"/>
      <c r="J193" s="120"/>
      <c r="K193" s="120"/>
      <c r="L193" s="120"/>
      <c r="M193" s="128">
        <f t="shared" si="33"/>
        <v>0</v>
      </c>
      <c r="N193" s="102">
        <f t="shared" si="40"/>
        <v>0</v>
      </c>
      <c r="O193" s="120"/>
      <c r="P193" s="120"/>
      <c r="Q193" s="120"/>
      <c r="R193" s="120"/>
      <c r="S193" s="120"/>
      <c r="T193" s="120"/>
      <c r="U193" s="128">
        <f t="shared" si="34"/>
        <v>0</v>
      </c>
      <c r="V193" s="102">
        <f t="shared" si="35"/>
        <v>0</v>
      </c>
      <c r="W193" s="21"/>
      <c r="X193" s="21"/>
      <c r="Y193" s="21"/>
      <c r="Z193" s="21"/>
      <c r="AA193" s="102">
        <f t="shared" si="36"/>
        <v>0</v>
      </c>
      <c r="AB193" s="102">
        <f t="shared" si="37"/>
        <v>0</v>
      </c>
      <c r="AC193" s="102">
        <f t="shared" si="38"/>
        <v>0</v>
      </c>
      <c r="AD193" s="102">
        <f t="shared" si="39"/>
        <v>0</v>
      </c>
      <c r="AE193" s="102">
        <f t="shared" si="41"/>
        <v>0</v>
      </c>
      <c r="AF193" s="129">
        <f t="shared" si="42"/>
        <v>0</v>
      </c>
    </row>
    <row r="194" spans="2:32" x14ac:dyDescent="0.25">
      <c r="B194" s="4" t="s">
        <v>188</v>
      </c>
      <c r="C194" s="70"/>
      <c r="D194" s="70"/>
      <c r="E194" s="70"/>
      <c r="F194" s="102">
        <f t="shared" si="32"/>
        <v>0</v>
      </c>
      <c r="G194" s="120"/>
      <c r="H194" s="120"/>
      <c r="I194" s="120"/>
      <c r="J194" s="120"/>
      <c r="K194" s="120"/>
      <c r="L194" s="120"/>
      <c r="M194" s="128">
        <f t="shared" si="33"/>
        <v>0</v>
      </c>
      <c r="N194" s="102">
        <f t="shared" si="40"/>
        <v>0</v>
      </c>
      <c r="O194" s="120"/>
      <c r="P194" s="120"/>
      <c r="Q194" s="120"/>
      <c r="R194" s="120"/>
      <c r="S194" s="120"/>
      <c r="T194" s="120"/>
      <c r="U194" s="128">
        <f t="shared" si="34"/>
        <v>0</v>
      </c>
      <c r="V194" s="102">
        <f t="shared" si="35"/>
        <v>0</v>
      </c>
      <c r="W194" s="21"/>
      <c r="X194" s="21"/>
      <c r="Y194" s="21"/>
      <c r="Z194" s="21"/>
      <c r="AA194" s="102">
        <f t="shared" si="36"/>
        <v>0</v>
      </c>
      <c r="AB194" s="102">
        <f t="shared" si="37"/>
        <v>0</v>
      </c>
      <c r="AC194" s="102">
        <f t="shared" si="38"/>
        <v>0</v>
      </c>
      <c r="AD194" s="102">
        <f t="shared" si="39"/>
        <v>0</v>
      </c>
      <c r="AE194" s="102">
        <f t="shared" si="41"/>
        <v>0</v>
      </c>
      <c r="AF194" s="129">
        <f t="shared" si="42"/>
        <v>0</v>
      </c>
    </row>
    <row r="195" spans="2:32" x14ac:dyDescent="0.25">
      <c r="B195" s="4" t="s">
        <v>188</v>
      </c>
      <c r="C195" s="70"/>
      <c r="D195" s="70"/>
      <c r="E195" s="70"/>
      <c r="F195" s="102">
        <f t="shared" si="32"/>
        <v>0</v>
      </c>
      <c r="G195" s="120"/>
      <c r="H195" s="120"/>
      <c r="I195" s="120"/>
      <c r="J195" s="120"/>
      <c r="K195" s="120"/>
      <c r="L195" s="120"/>
      <c r="M195" s="128">
        <f t="shared" si="33"/>
        <v>0</v>
      </c>
      <c r="N195" s="102">
        <f t="shared" si="40"/>
        <v>0</v>
      </c>
      <c r="O195" s="120"/>
      <c r="P195" s="120"/>
      <c r="Q195" s="120"/>
      <c r="R195" s="120"/>
      <c r="S195" s="120"/>
      <c r="T195" s="120"/>
      <c r="U195" s="128">
        <f t="shared" si="34"/>
        <v>0</v>
      </c>
      <c r="V195" s="102">
        <f t="shared" si="35"/>
        <v>0</v>
      </c>
      <c r="W195" s="21"/>
      <c r="X195" s="21"/>
      <c r="Y195" s="21"/>
      <c r="Z195" s="21"/>
      <c r="AA195" s="102">
        <f t="shared" si="36"/>
        <v>0</v>
      </c>
      <c r="AB195" s="102">
        <f t="shared" si="37"/>
        <v>0</v>
      </c>
      <c r="AC195" s="102">
        <f t="shared" si="38"/>
        <v>0</v>
      </c>
      <c r="AD195" s="102">
        <f t="shared" si="39"/>
        <v>0</v>
      </c>
      <c r="AE195" s="102">
        <f t="shared" si="41"/>
        <v>0</v>
      </c>
      <c r="AF195" s="129">
        <f t="shared" si="42"/>
        <v>0</v>
      </c>
    </row>
    <row r="196" spans="2:32" x14ac:dyDescent="0.25">
      <c r="B196" s="4" t="s">
        <v>188</v>
      </c>
      <c r="C196" s="70"/>
      <c r="D196" s="70"/>
      <c r="E196" s="70"/>
      <c r="F196" s="102">
        <f t="shared" si="32"/>
        <v>0</v>
      </c>
      <c r="G196" s="120"/>
      <c r="H196" s="120"/>
      <c r="I196" s="120"/>
      <c r="J196" s="120"/>
      <c r="K196" s="120"/>
      <c r="L196" s="120"/>
      <c r="M196" s="128">
        <f t="shared" si="33"/>
        <v>0</v>
      </c>
      <c r="N196" s="102">
        <f t="shared" si="40"/>
        <v>0</v>
      </c>
      <c r="O196" s="120"/>
      <c r="P196" s="120"/>
      <c r="Q196" s="120"/>
      <c r="R196" s="120"/>
      <c r="S196" s="120"/>
      <c r="T196" s="120"/>
      <c r="U196" s="128">
        <f t="shared" si="34"/>
        <v>0</v>
      </c>
      <c r="V196" s="102">
        <f t="shared" si="35"/>
        <v>0</v>
      </c>
      <c r="W196" s="21"/>
      <c r="X196" s="21"/>
      <c r="Y196" s="21"/>
      <c r="Z196" s="21"/>
      <c r="AA196" s="102">
        <f t="shared" si="36"/>
        <v>0</v>
      </c>
      <c r="AB196" s="102">
        <f t="shared" si="37"/>
        <v>0</v>
      </c>
      <c r="AC196" s="102">
        <f t="shared" si="38"/>
        <v>0</v>
      </c>
      <c r="AD196" s="102">
        <f t="shared" si="39"/>
        <v>0</v>
      </c>
      <c r="AE196" s="102">
        <f t="shared" si="41"/>
        <v>0</v>
      </c>
      <c r="AF196" s="129">
        <f t="shared" si="42"/>
        <v>0</v>
      </c>
    </row>
    <row r="197" spans="2:32" x14ac:dyDescent="0.25">
      <c r="B197" s="4" t="s">
        <v>188</v>
      </c>
      <c r="C197" s="70"/>
      <c r="D197" s="70"/>
      <c r="E197" s="70"/>
      <c r="F197" s="102">
        <f t="shared" si="32"/>
        <v>0</v>
      </c>
      <c r="G197" s="120"/>
      <c r="H197" s="120"/>
      <c r="I197" s="120"/>
      <c r="J197" s="120"/>
      <c r="K197" s="120"/>
      <c r="L197" s="120"/>
      <c r="M197" s="128">
        <f t="shared" si="33"/>
        <v>0</v>
      </c>
      <c r="N197" s="102">
        <f>M197*$N$2</f>
        <v>0</v>
      </c>
      <c r="O197" s="120"/>
      <c r="P197" s="120"/>
      <c r="Q197" s="120"/>
      <c r="R197" s="120"/>
      <c r="S197" s="120"/>
      <c r="T197" s="120"/>
      <c r="U197" s="128">
        <f t="shared" si="34"/>
        <v>0</v>
      </c>
      <c r="V197" s="102">
        <f t="shared" si="35"/>
        <v>0</v>
      </c>
      <c r="W197" s="21"/>
      <c r="X197" s="21"/>
      <c r="Y197" s="21"/>
      <c r="Z197" s="21"/>
      <c r="AA197" s="102">
        <f t="shared" si="36"/>
        <v>0</v>
      </c>
      <c r="AB197" s="102">
        <f t="shared" si="37"/>
        <v>0</v>
      </c>
      <c r="AC197" s="102">
        <f t="shared" si="38"/>
        <v>0</v>
      </c>
      <c r="AD197" s="102">
        <f t="shared" si="39"/>
        <v>0</v>
      </c>
      <c r="AE197" s="102">
        <f t="shared" si="41"/>
        <v>0</v>
      </c>
      <c r="AF197" s="129">
        <f>+F197*AE197</f>
        <v>0</v>
      </c>
    </row>
    <row r="198" spans="2:32" x14ac:dyDescent="0.25">
      <c r="B198" s="4" t="s">
        <v>188</v>
      </c>
      <c r="C198" s="70"/>
      <c r="D198" s="70"/>
      <c r="E198" s="70"/>
      <c r="F198" s="102">
        <f>D198*E198</f>
        <v>0</v>
      </c>
      <c r="G198" s="120"/>
      <c r="H198" s="120"/>
      <c r="I198" s="120"/>
      <c r="J198" s="120"/>
      <c r="K198" s="120"/>
      <c r="L198" s="120"/>
      <c r="M198" s="128">
        <f>-G198-I198-K198+H198+J198+L198</f>
        <v>0</v>
      </c>
      <c r="N198" s="102">
        <f>M198*$N$2</f>
        <v>0</v>
      </c>
      <c r="O198" s="120"/>
      <c r="P198" s="120"/>
      <c r="Q198" s="120"/>
      <c r="R198" s="120"/>
      <c r="S198" s="120"/>
      <c r="T198" s="120"/>
      <c r="U198" s="128">
        <f>-O198-Q198-S198+P198+R198+T198</f>
        <v>0</v>
      </c>
      <c r="V198" s="102">
        <f>U198*$V$2</f>
        <v>0</v>
      </c>
      <c r="W198" s="21"/>
      <c r="X198" s="21"/>
      <c r="Y198" s="21"/>
      <c r="Z198" s="21"/>
      <c r="AA198" s="102">
        <f t="shared" ref="AA198:AD200" si="43">W198*$F198</f>
        <v>0</v>
      </c>
      <c r="AB198" s="102">
        <f t="shared" si="43"/>
        <v>0</v>
      </c>
      <c r="AC198" s="102">
        <f t="shared" si="43"/>
        <v>0</v>
      </c>
      <c r="AD198" s="102">
        <f t="shared" si="43"/>
        <v>0</v>
      </c>
      <c r="AE198" s="102">
        <f t="shared" si="41"/>
        <v>0</v>
      </c>
      <c r="AF198" s="129">
        <f>+F198*AE198</f>
        <v>0</v>
      </c>
    </row>
    <row r="199" spans="2:32" x14ac:dyDescent="0.25">
      <c r="B199" s="4" t="s">
        <v>188</v>
      </c>
      <c r="C199" s="70"/>
      <c r="D199" s="70"/>
      <c r="E199" s="70"/>
      <c r="F199" s="102">
        <f>D199*E199</f>
        <v>0</v>
      </c>
      <c r="G199" s="120"/>
      <c r="H199" s="120"/>
      <c r="I199" s="120"/>
      <c r="J199" s="120"/>
      <c r="K199" s="120"/>
      <c r="L199" s="120"/>
      <c r="M199" s="128">
        <f>-G199-I199-K199+H199+J199+L199</f>
        <v>0</v>
      </c>
      <c r="N199" s="102">
        <f>M199*$N$2</f>
        <v>0</v>
      </c>
      <c r="O199" s="120"/>
      <c r="P199" s="120"/>
      <c r="Q199" s="120"/>
      <c r="R199" s="120"/>
      <c r="S199" s="120"/>
      <c r="T199" s="120"/>
      <c r="U199" s="128">
        <f>-O199-Q199-S199+P199+R199+T199</f>
        <v>0</v>
      </c>
      <c r="V199" s="102">
        <f>U199*$V$2</f>
        <v>0</v>
      </c>
      <c r="W199" s="21"/>
      <c r="X199" s="21"/>
      <c r="Y199" s="21"/>
      <c r="Z199" s="21"/>
      <c r="AA199" s="102">
        <f t="shared" si="43"/>
        <v>0</v>
      </c>
      <c r="AB199" s="102">
        <f t="shared" si="43"/>
        <v>0</v>
      </c>
      <c r="AC199" s="102">
        <f t="shared" si="43"/>
        <v>0</v>
      </c>
      <c r="AD199" s="102">
        <f t="shared" si="43"/>
        <v>0</v>
      </c>
      <c r="AE199" s="102">
        <f t="shared" si="41"/>
        <v>0</v>
      </c>
      <c r="AF199" s="129">
        <f>+F199*AE199</f>
        <v>0</v>
      </c>
    </row>
    <row r="200" spans="2:32" x14ac:dyDescent="0.25">
      <c r="B200" s="4" t="s">
        <v>188</v>
      </c>
      <c r="C200" s="70"/>
      <c r="D200" s="70"/>
      <c r="E200" s="70"/>
      <c r="F200" s="102">
        <f>D200*E200</f>
        <v>0</v>
      </c>
      <c r="G200" s="120"/>
      <c r="H200" s="120"/>
      <c r="I200" s="120"/>
      <c r="J200" s="120"/>
      <c r="K200" s="120"/>
      <c r="L200" s="120"/>
      <c r="M200" s="128">
        <f>-G200-I200-K200+H200+J200+L200</f>
        <v>0</v>
      </c>
      <c r="N200" s="102">
        <f>M200*$N$2</f>
        <v>0</v>
      </c>
      <c r="O200" s="120"/>
      <c r="P200" s="120"/>
      <c r="Q200" s="120"/>
      <c r="R200" s="120"/>
      <c r="S200" s="120"/>
      <c r="T200" s="120"/>
      <c r="U200" s="128">
        <f>-O200-Q200-S200+P200+R200+T200</f>
        <v>0</v>
      </c>
      <c r="V200" s="102">
        <f>U200*$V$2</f>
        <v>0</v>
      </c>
      <c r="W200" s="21"/>
      <c r="X200" s="21"/>
      <c r="Y200" s="21"/>
      <c r="Z200" s="21"/>
      <c r="AA200" s="102">
        <f t="shared" si="43"/>
        <v>0</v>
      </c>
      <c r="AB200" s="102">
        <f t="shared" si="43"/>
        <v>0</v>
      </c>
      <c r="AC200" s="102">
        <f t="shared" si="43"/>
        <v>0</v>
      </c>
      <c r="AD200" s="102">
        <f t="shared" si="43"/>
        <v>0</v>
      </c>
      <c r="AE200" s="102">
        <f t="shared" si="41"/>
        <v>0</v>
      </c>
      <c r="AF200" s="129">
        <f>+F200*AE200</f>
        <v>0</v>
      </c>
    </row>
  </sheetData>
  <mergeCells count="10">
    <mergeCell ref="AI3:AK3"/>
    <mergeCell ref="B2:F2"/>
    <mergeCell ref="G3:L3"/>
    <mergeCell ref="M2:M3"/>
    <mergeCell ref="N2:N3"/>
    <mergeCell ref="U2:U3"/>
    <mergeCell ref="V2:V3"/>
    <mergeCell ref="O3:T3"/>
    <mergeCell ref="W3:Z3"/>
    <mergeCell ref="AA3:AD3"/>
  </mergeCells>
  <conditionalFormatting sqref="AJ17">
    <cfRule type="cellIs" dxfId="7" priority="4" operator="greaterThan">
      <formula>0.05</formula>
    </cfRule>
  </conditionalFormatting>
  <conditionalFormatting sqref="AK17">
    <cfRule type="cellIs" dxfId="6" priority="1" operator="equal">
      <formula>"Ajustar usos"</formula>
    </cfRule>
  </conditionalFormatting>
  <dataValidations count="1">
    <dataValidation type="list" allowBlank="1" showInputMessage="1" showErrorMessage="1" sqref="B5:B200">
      <formula1>$AI$4:$AI$15</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theme="7"/>
  </sheetPr>
  <dimension ref="A1:M200"/>
  <sheetViews>
    <sheetView workbookViewId="0">
      <selection activeCell="L17" sqref="L17"/>
    </sheetView>
  </sheetViews>
  <sheetFormatPr baseColWidth="10" defaultRowHeight="15" x14ac:dyDescent="0.25"/>
  <cols>
    <col min="1" max="1" width="5.7109375" style="166" customWidth="1"/>
    <col min="2" max="3" width="27.28515625" style="166" customWidth="1"/>
    <col min="4" max="5" width="18.140625" style="166" customWidth="1"/>
    <col min="6" max="6" width="10.140625" style="166" customWidth="1"/>
    <col min="7" max="7" width="13.140625" style="166" customWidth="1"/>
    <col min="8" max="8" width="15.140625" style="166" customWidth="1"/>
    <col min="9" max="9" width="17.28515625" style="166" customWidth="1"/>
    <col min="10" max="10" width="11.42578125" style="166"/>
    <col min="11" max="11" width="37.28515625" style="166" customWidth="1"/>
    <col min="12" max="12" width="11.42578125" style="166"/>
    <col min="13" max="13" width="17.5703125" style="166" customWidth="1"/>
    <col min="14" max="16384" width="11.42578125" style="166"/>
  </cols>
  <sheetData>
    <row r="1" spans="1:13" ht="15.75" thickBot="1" x14ac:dyDescent="0.3"/>
    <row r="2" spans="1:13" ht="27.75" customHeight="1" thickBot="1" x14ac:dyDescent="0.3">
      <c r="B2" s="422" t="s">
        <v>339</v>
      </c>
      <c r="C2" s="423"/>
      <c r="D2" s="423"/>
      <c r="E2" s="423"/>
      <c r="F2" s="423"/>
      <c r="G2" s="423"/>
      <c r="H2" s="423"/>
      <c r="I2" s="424"/>
    </row>
    <row r="3" spans="1:13" ht="15.75" x14ac:dyDescent="0.25">
      <c r="A3" s="6"/>
      <c r="B3" s="1"/>
      <c r="C3" s="1"/>
      <c r="D3" s="1"/>
      <c r="E3" s="1"/>
      <c r="F3" s="1"/>
      <c r="G3" s="1"/>
      <c r="H3" s="1"/>
      <c r="K3" s="415" t="s">
        <v>207</v>
      </c>
      <c r="L3" s="415"/>
      <c r="M3" s="415"/>
    </row>
    <row r="4" spans="1:13" ht="38.25" x14ac:dyDescent="0.25">
      <c r="B4" s="168" t="s">
        <v>179</v>
      </c>
      <c r="C4" s="168" t="s">
        <v>178</v>
      </c>
      <c r="D4" s="168" t="s">
        <v>247</v>
      </c>
      <c r="E4" s="168" t="s">
        <v>338</v>
      </c>
      <c r="F4" s="168" t="s">
        <v>197</v>
      </c>
      <c r="G4" s="168" t="s">
        <v>336</v>
      </c>
      <c r="H4" s="168" t="s">
        <v>66</v>
      </c>
      <c r="I4" s="119" t="s">
        <v>173</v>
      </c>
      <c r="K4" s="284" t="s">
        <v>188</v>
      </c>
      <c r="L4" s="284" t="s">
        <v>208</v>
      </c>
      <c r="M4" s="119" t="s">
        <v>209</v>
      </c>
    </row>
    <row r="5" spans="1:13" x14ac:dyDescent="0.25">
      <c r="B5" s="70" t="s">
        <v>516</v>
      </c>
      <c r="C5" s="70" t="s">
        <v>356</v>
      </c>
      <c r="D5" s="70"/>
      <c r="E5" s="70"/>
      <c r="F5" s="70">
        <v>1</v>
      </c>
      <c r="G5" s="70">
        <v>1000</v>
      </c>
      <c r="H5" s="129">
        <f>G5*Listas!$I$7</f>
        <v>10860</v>
      </c>
      <c r="K5" s="125" t="s">
        <v>189</v>
      </c>
      <c r="L5" s="126">
        <f>SUMIF(B:B,K5,H:H)</f>
        <v>0</v>
      </c>
      <c r="M5" s="127">
        <f>L5*'Gas Natural  '!$M$26</f>
        <v>0</v>
      </c>
    </row>
    <row r="6" spans="1:13" x14ac:dyDescent="0.25">
      <c r="B6" s="70" t="s">
        <v>534</v>
      </c>
      <c r="C6" s="70" t="s">
        <v>357</v>
      </c>
      <c r="D6" s="70"/>
      <c r="E6" s="70"/>
      <c r="F6" s="70">
        <v>1</v>
      </c>
      <c r="G6" s="70">
        <v>200</v>
      </c>
      <c r="H6" s="129">
        <f>G6*Listas!$I$7</f>
        <v>2172</v>
      </c>
      <c r="K6" s="125" t="s">
        <v>488</v>
      </c>
      <c r="L6" s="126">
        <f t="shared" ref="L6:L15" si="0">SUMIF(B:B,K6,H:H)</f>
        <v>0</v>
      </c>
      <c r="M6" s="127">
        <f>L6*'Gas Natural  '!$M$26</f>
        <v>0</v>
      </c>
    </row>
    <row r="7" spans="1:13" x14ac:dyDescent="0.25">
      <c r="B7" s="70" t="s">
        <v>594</v>
      </c>
      <c r="C7" s="70" t="s">
        <v>358</v>
      </c>
      <c r="D7" s="70"/>
      <c r="E7" s="70"/>
      <c r="F7" s="70">
        <v>2</v>
      </c>
      <c r="G7" s="70">
        <v>3000</v>
      </c>
      <c r="H7" s="129">
        <f>G7*Listas!$I$7</f>
        <v>32580</v>
      </c>
      <c r="K7" s="125" t="s">
        <v>509</v>
      </c>
      <c r="L7" s="126">
        <f t="shared" si="0"/>
        <v>162.89999999999998</v>
      </c>
      <c r="M7" s="127">
        <f>L7*'Gas Natural  '!$M$26</f>
        <v>19958.087194125012</v>
      </c>
    </row>
    <row r="8" spans="1:13" x14ac:dyDescent="0.25">
      <c r="B8" s="70" t="s">
        <v>534</v>
      </c>
      <c r="C8" s="70" t="s">
        <v>359</v>
      </c>
      <c r="D8" s="70"/>
      <c r="E8" s="70"/>
      <c r="F8" s="70">
        <v>1</v>
      </c>
      <c r="G8" s="70">
        <v>250</v>
      </c>
      <c r="H8" s="129">
        <f>G8*Listas!$I$7</f>
        <v>2715</v>
      </c>
      <c r="K8" s="125" t="s">
        <v>516</v>
      </c>
      <c r="L8" s="126">
        <f t="shared" si="0"/>
        <v>10860</v>
      </c>
      <c r="M8" s="127">
        <f>L8*'Gas Natural  '!$M$26</f>
        <v>1330539.1462750011</v>
      </c>
    </row>
    <row r="9" spans="1:13" x14ac:dyDescent="0.25">
      <c r="B9" s="70" t="s">
        <v>509</v>
      </c>
      <c r="C9" s="70" t="s">
        <v>360</v>
      </c>
      <c r="D9" s="70"/>
      <c r="E9" s="70"/>
      <c r="F9" s="70">
        <v>1</v>
      </c>
      <c r="G9" s="70">
        <v>15</v>
      </c>
      <c r="H9" s="129">
        <f>G9*Listas!$I$7</f>
        <v>162.89999999999998</v>
      </c>
      <c r="K9" s="125" t="s">
        <v>631</v>
      </c>
      <c r="L9" s="126">
        <f t="shared" si="0"/>
        <v>0</v>
      </c>
      <c r="M9" s="127">
        <f>L9*'Gas Natural  '!$M$26</f>
        <v>0</v>
      </c>
    </row>
    <row r="10" spans="1:13" x14ac:dyDescent="0.25">
      <c r="B10" s="70" t="s">
        <v>188</v>
      </c>
      <c r="C10" s="70"/>
      <c r="D10" s="70"/>
      <c r="E10" s="70"/>
      <c r="F10" s="70"/>
      <c r="G10" s="70"/>
      <c r="H10" s="129">
        <f>G10*Listas!$I$7</f>
        <v>0</v>
      </c>
      <c r="K10" s="125" t="s">
        <v>534</v>
      </c>
      <c r="L10" s="126">
        <f t="shared" si="0"/>
        <v>4887</v>
      </c>
      <c r="M10" s="127">
        <f>L10*'Gas Natural  '!$M$26</f>
        <v>598742.6158237505</v>
      </c>
    </row>
    <row r="11" spans="1:13" x14ac:dyDescent="0.25">
      <c r="B11" s="70" t="s">
        <v>188</v>
      </c>
      <c r="C11" s="70"/>
      <c r="D11" s="70"/>
      <c r="E11" s="70"/>
      <c r="F11" s="70"/>
      <c r="G11" s="70"/>
      <c r="H11" s="129">
        <f>G11*Listas!$I$7</f>
        <v>0</v>
      </c>
      <c r="K11" s="125" t="s">
        <v>547</v>
      </c>
      <c r="L11" s="126">
        <f t="shared" si="0"/>
        <v>0</v>
      </c>
      <c r="M11" s="127">
        <f>L11*'Gas Natural  '!$M$26</f>
        <v>0</v>
      </c>
    </row>
    <row r="12" spans="1:13" x14ac:dyDescent="0.25">
      <c r="B12" s="70" t="s">
        <v>188</v>
      </c>
      <c r="C12" s="70"/>
      <c r="D12" s="70"/>
      <c r="E12" s="70"/>
      <c r="F12" s="70"/>
      <c r="G12" s="70"/>
      <c r="H12" s="129">
        <f>G12*Listas!$I$7</f>
        <v>0</v>
      </c>
      <c r="K12" s="125" t="s">
        <v>563</v>
      </c>
      <c r="L12" s="126">
        <f t="shared" si="0"/>
        <v>0</v>
      </c>
      <c r="M12" s="127">
        <f>L12*'Gas Natural  '!$M$26</f>
        <v>0</v>
      </c>
    </row>
    <row r="13" spans="1:13" x14ac:dyDescent="0.25">
      <c r="B13" s="70" t="s">
        <v>188</v>
      </c>
      <c r="C13" s="70"/>
      <c r="D13" s="70"/>
      <c r="E13" s="70"/>
      <c r="F13" s="70"/>
      <c r="G13" s="70"/>
      <c r="H13" s="129">
        <f>G13*Listas!$I$7</f>
        <v>0</v>
      </c>
      <c r="K13" s="125" t="s">
        <v>575</v>
      </c>
      <c r="L13" s="126">
        <f t="shared" si="0"/>
        <v>0</v>
      </c>
      <c r="M13" s="127">
        <f>L13*'Gas Natural  '!$M$26</f>
        <v>0</v>
      </c>
    </row>
    <row r="14" spans="1:13" x14ac:dyDescent="0.25">
      <c r="B14" s="70" t="s">
        <v>188</v>
      </c>
      <c r="C14" s="70"/>
      <c r="D14" s="70"/>
      <c r="E14" s="70"/>
      <c r="F14" s="70"/>
      <c r="G14" s="70"/>
      <c r="H14" s="129">
        <f>G14*Listas!$I$7</f>
        <v>0</v>
      </c>
      <c r="K14" s="125" t="s">
        <v>594</v>
      </c>
      <c r="L14" s="126">
        <f t="shared" si="0"/>
        <v>32580</v>
      </c>
      <c r="M14" s="127">
        <f>L14*'Gas Natural  '!$M$26</f>
        <v>3991617.4388250033</v>
      </c>
    </row>
    <row r="15" spans="1:13" x14ac:dyDescent="0.25">
      <c r="B15" s="70" t="s">
        <v>188</v>
      </c>
      <c r="C15" s="70"/>
      <c r="D15" s="70"/>
      <c r="E15" s="70"/>
      <c r="F15" s="70"/>
      <c r="G15" s="70"/>
      <c r="H15" s="129">
        <f>G15*Listas!$I$7</f>
        <v>0</v>
      </c>
      <c r="K15" s="125" t="s">
        <v>240</v>
      </c>
      <c r="L15" s="126">
        <f t="shared" si="0"/>
        <v>0</v>
      </c>
      <c r="M15" s="127">
        <f>L15*'Gas Natural  '!$M$26</f>
        <v>0</v>
      </c>
    </row>
    <row r="16" spans="1:13" x14ac:dyDescent="0.25">
      <c r="B16" s="70" t="s">
        <v>188</v>
      </c>
      <c r="C16" s="70"/>
      <c r="D16" s="70"/>
      <c r="E16" s="70"/>
      <c r="F16" s="70"/>
      <c r="G16" s="70"/>
      <c r="H16" s="129">
        <f>G16*Listas!$I$7</f>
        <v>0</v>
      </c>
    </row>
    <row r="17" spans="2:13" x14ac:dyDescent="0.25">
      <c r="B17" s="70" t="s">
        <v>188</v>
      </c>
      <c r="C17" s="70"/>
      <c r="D17" s="70"/>
      <c r="E17" s="70"/>
      <c r="F17" s="70"/>
      <c r="G17" s="70"/>
      <c r="H17" s="129">
        <f>G17*Listas!$I$7</f>
        <v>0</v>
      </c>
      <c r="K17" s="283" t="s">
        <v>392</v>
      </c>
      <c r="L17" s="317">
        <f>ABS(('Gas Natural  '!G24-SUM(L5:L15))/'Gas Natural  '!G24)</f>
        <v>1.0656304518760406E-3</v>
      </c>
      <c r="M17" s="174" t="str">
        <f>IF(L17&gt;5%,"Ajustar usos","")</f>
        <v/>
      </c>
    </row>
    <row r="18" spans="2:13" x14ac:dyDescent="0.25">
      <c r="B18" s="70" t="s">
        <v>188</v>
      </c>
      <c r="C18" s="70"/>
      <c r="D18" s="70"/>
      <c r="E18" s="70"/>
      <c r="F18" s="70"/>
      <c r="G18" s="70"/>
      <c r="H18" s="129">
        <f>G18*Listas!$I$7</f>
        <v>0</v>
      </c>
    </row>
    <row r="19" spans="2:13" x14ac:dyDescent="0.25">
      <c r="B19" s="70" t="s">
        <v>188</v>
      </c>
      <c r="C19" s="70"/>
      <c r="D19" s="70"/>
      <c r="E19" s="70"/>
      <c r="F19" s="70"/>
      <c r="G19" s="70"/>
      <c r="H19" s="129">
        <f>G19*Listas!$I$7</f>
        <v>0</v>
      </c>
    </row>
    <row r="20" spans="2:13" x14ac:dyDescent="0.25">
      <c r="B20" s="70" t="s">
        <v>188</v>
      </c>
      <c r="C20" s="70"/>
      <c r="D20" s="70"/>
      <c r="E20" s="70"/>
      <c r="F20" s="70"/>
      <c r="G20" s="70"/>
      <c r="H20" s="129">
        <f>G20*Listas!$I$7</f>
        <v>0</v>
      </c>
    </row>
    <row r="21" spans="2:13" x14ac:dyDescent="0.25">
      <c r="B21" s="70" t="s">
        <v>188</v>
      </c>
      <c r="C21" s="70"/>
      <c r="D21" s="70"/>
      <c r="E21" s="70"/>
      <c r="F21" s="70"/>
      <c r="G21" s="70"/>
      <c r="H21" s="129">
        <f>G21*Listas!$I$7</f>
        <v>0</v>
      </c>
    </row>
    <row r="22" spans="2:13" x14ac:dyDescent="0.25">
      <c r="B22" s="70" t="s">
        <v>188</v>
      </c>
      <c r="C22" s="70"/>
      <c r="D22" s="70"/>
      <c r="E22" s="70"/>
      <c r="F22" s="70"/>
      <c r="G22" s="70"/>
      <c r="H22" s="129">
        <f>G22*Listas!$I$7</f>
        <v>0</v>
      </c>
    </row>
    <row r="23" spans="2:13" x14ac:dyDescent="0.25">
      <c r="B23" s="70" t="s">
        <v>188</v>
      </c>
      <c r="C23" s="70"/>
      <c r="D23" s="70"/>
      <c r="E23" s="70"/>
      <c r="F23" s="70"/>
      <c r="G23" s="70"/>
      <c r="H23" s="129">
        <f>G23*Listas!$I$7</f>
        <v>0</v>
      </c>
    </row>
    <row r="24" spans="2:13" x14ac:dyDescent="0.25">
      <c r="B24" s="70" t="s">
        <v>188</v>
      </c>
      <c r="C24" s="70"/>
      <c r="D24" s="70"/>
      <c r="E24" s="70"/>
      <c r="F24" s="70"/>
      <c r="G24" s="70"/>
      <c r="H24" s="129">
        <f>G24*Listas!$I$7</f>
        <v>0</v>
      </c>
    </row>
    <row r="25" spans="2:13" x14ac:dyDescent="0.25">
      <c r="B25" s="70" t="s">
        <v>188</v>
      </c>
      <c r="C25" s="70"/>
      <c r="D25" s="70"/>
      <c r="E25" s="70"/>
      <c r="F25" s="70"/>
      <c r="G25" s="70"/>
      <c r="H25" s="129">
        <f>G25*Listas!$I$7</f>
        <v>0</v>
      </c>
    </row>
    <row r="26" spans="2:13" x14ac:dyDescent="0.25">
      <c r="B26" s="70" t="s">
        <v>188</v>
      </c>
      <c r="C26" s="70"/>
      <c r="D26" s="70"/>
      <c r="E26" s="70"/>
      <c r="F26" s="70"/>
      <c r="G26" s="70"/>
      <c r="H26" s="129">
        <f>G26*Listas!$I$7</f>
        <v>0</v>
      </c>
    </row>
    <row r="27" spans="2:13" x14ac:dyDescent="0.25">
      <c r="B27" s="70" t="s">
        <v>188</v>
      </c>
      <c r="C27" s="70"/>
      <c r="D27" s="70"/>
      <c r="E27" s="70"/>
      <c r="F27" s="70"/>
      <c r="G27" s="70"/>
      <c r="H27" s="129">
        <f>G27*Listas!$I$7</f>
        <v>0</v>
      </c>
    </row>
    <row r="28" spans="2:13" x14ac:dyDescent="0.25">
      <c r="B28" s="70" t="s">
        <v>188</v>
      </c>
      <c r="C28" s="70"/>
      <c r="D28" s="70"/>
      <c r="E28" s="70"/>
      <c r="F28" s="70"/>
      <c r="G28" s="70"/>
      <c r="H28" s="129">
        <f>G28*Listas!$I$7</f>
        <v>0</v>
      </c>
    </row>
    <row r="29" spans="2:13" x14ac:dyDescent="0.25">
      <c r="B29" s="70" t="s">
        <v>188</v>
      </c>
      <c r="C29" s="70"/>
      <c r="D29" s="70"/>
      <c r="E29" s="70"/>
      <c r="F29" s="70"/>
      <c r="G29" s="70"/>
      <c r="H29" s="129">
        <f>G29*Listas!$I$7</f>
        <v>0</v>
      </c>
    </row>
    <row r="30" spans="2:13" x14ac:dyDescent="0.25">
      <c r="B30" s="70" t="s">
        <v>188</v>
      </c>
      <c r="C30" s="70"/>
      <c r="D30" s="70"/>
      <c r="E30" s="70"/>
      <c r="F30" s="70"/>
      <c r="G30" s="70"/>
      <c r="H30" s="129">
        <f>G30*Listas!$I$7</f>
        <v>0</v>
      </c>
    </row>
    <row r="31" spans="2:13" x14ac:dyDescent="0.25">
      <c r="B31" s="70" t="s">
        <v>188</v>
      </c>
      <c r="C31" s="70"/>
      <c r="D31" s="70"/>
      <c r="E31" s="70"/>
      <c r="F31" s="70"/>
      <c r="G31" s="70"/>
      <c r="H31" s="129">
        <f>G31*Listas!$I$7</f>
        <v>0</v>
      </c>
    </row>
    <row r="32" spans="2:13" x14ac:dyDescent="0.25">
      <c r="B32" s="70" t="s">
        <v>188</v>
      </c>
      <c r="C32" s="70"/>
      <c r="D32" s="70"/>
      <c r="E32" s="70"/>
      <c r="F32" s="70"/>
      <c r="G32" s="70"/>
      <c r="H32" s="129">
        <f>G32*Listas!$I$7</f>
        <v>0</v>
      </c>
    </row>
    <row r="33" spans="2:8" x14ac:dyDescent="0.25">
      <c r="B33" s="70" t="s">
        <v>188</v>
      </c>
      <c r="C33" s="70"/>
      <c r="D33" s="70"/>
      <c r="E33" s="70"/>
      <c r="F33" s="70"/>
      <c r="G33" s="70"/>
      <c r="H33" s="129">
        <f>G33*Listas!$I$7</f>
        <v>0</v>
      </c>
    </row>
    <row r="34" spans="2:8" x14ac:dyDescent="0.25">
      <c r="B34" s="70" t="s">
        <v>188</v>
      </c>
      <c r="C34" s="70"/>
      <c r="D34" s="70"/>
      <c r="E34" s="70"/>
      <c r="F34" s="70"/>
      <c r="G34" s="70"/>
      <c r="H34" s="129">
        <f>G34*Listas!$I$7</f>
        <v>0</v>
      </c>
    </row>
    <row r="35" spans="2:8" x14ac:dyDescent="0.25">
      <c r="B35" s="70" t="s">
        <v>188</v>
      </c>
      <c r="C35" s="70"/>
      <c r="D35" s="70"/>
      <c r="E35" s="70"/>
      <c r="F35" s="70"/>
      <c r="G35" s="70"/>
      <c r="H35" s="129">
        <f>G35*Listas!$I$7</f>
        <v>0</v>
      </c>
    </row>
    <row r="36" spans="2:8" x14ac:dyDescent="0.25">
      <c r="B36" s="70" t="s">
        <v>188</v>
      </c>
      <c r="C36" s="70"/>
      <c r="D36" s="70"/>
      <c r="E36" s="70"/>
      <c r="F36" s="70"/>
      <c r="G36" s="70"/>
      <c r="H36" s="129">
        <f>G36*Listas!$I$7</f>
        <v>0</v>
      </c>
    </row>
    <row r="37" spans="2:8" x14ac:dyDescent="0.25">
      <c r="B37" s="70" t="s">
        <v>188</v>
      </c>
      <c r="C37" s="70"/>
      <c r="D37" s="70"/>
      <c r="E37" s="70"/>
      <c r="F37" s="70"/>
      <c r="G37" s="70"/>
      <c r="H37" s="129">
        <f>G37*Listas!$I$7</f>
        <v>0</v>
      </c>
    </row>
    <row r="38" spans="2:8" x14ac:dyDescent="0.25">
      <c r="B38" s="70" t="s">
        <v>188</v>
      </c>
      <c r="C38" s="70"/>
      <c r="D38" s="70"/>
      <c r="E38" s="70"/>
      <c r="F38" s="70"/>
      <c r="G38" s="70"/>
      <c r="H38" s="129">
        <f>G38*Listas!$I$7</f>
        <v>0</v>
      </c>
    </row>
    <row r="39" spans="2:8" x14ac:dyDescent="0.25">
      <c r="B39" s="70" t="s">
        <v>188</v>
      </c>
      <c r="C39" s="70"/>
      <c r="D39" s="70"/>
      <c r="E39" s="70"/>
      <c r="F39" s="70"/>
      <c r="G39" s="70"/>
      <c r="H39" s="129">
        <f>G39*Listas!$I$7</f>
        <v>0</v>
      </c>
    </row>
    <row r="40" spans="2:8" x14ac:dyDescent="0.25">
      <c r="B40" s="70" t="s">
        <v>188</v>
      </c>
      <c r="C40" s="70"/>
      <c r="D40" s="70"/>
      <c r="E40" s="70"/>
      <c r="F40" s="70"/>
      <c r="G40" s="70"/>
      <c r="H40" s="129">
        <f>G40*Listas!$I$7</f>
        <v>0</v>
      </c>
    </row>
    <row r="41" spans="2:8" x14ac:dyDescent="0.25">
      <c r="B41" s="70" t="s">
        <v>188</v>
      </c>
      <c r="C41" s="70"/>
      <c r="D41" s="70"/>
      <c r="E41" s="70"/>
      <c r="F41" s="70"/>
      <c r="G41" s="70"/>
      <c r="H41" s="129">
        <f>G41*Listas!$I$7</f>
        <v>0</v>
      </c>
    </row>
    <row r="42" spans="2:8" x14ac:dyDescent="0.25">
      <c r="B42" s="70" t="s">
        <v>188</v>
      </c>
      <c r="C42" s="70"/>
      <c r="D42" s="70"/>
      <c r="E42" s="70"/>
      <c r="F42" s="70"/>
      <c r="G42" s="70"/>
      <c r="H42" s="129">
        <f>G42*Listas!$I$7</f>
        <v>0</v>
      </c>
    </row>
    <row r="43" spans="2:8" x14ac:dyDescent="0.25">
      <c r="B43" s="70" t="s">
        <v>188</v>
      </c>
      <c r="C43" s="70"/>
      <c r="D43" s="70"/>
      <c r="E43" s="70"/>
      <c r="F43" s="70"/>
      <c r="G43" s="70"/>
      <c r="H43" s="129">
        <f>G43*Listas!$I$7</f>
        <v>0</v>
      </c>
    </row>
    <row r="44" spans="2:8" x14ac:dyDescent="0.25">
      <c r="B44" s="70" t="s">
        <v>188</v>
      </c>
      <c r="C44" s="70"/>
      <c r="D44" s="70"/>
      <c r="E44" s="70"/>
      <c r="F44" s="70"/>
      <c r="G44" s="70"/>
      <c r="H44" s="129">
        <f>G44*Listas!$I$7</f>
        <v>0</v>
      </c>
    </row>
    <row r="45" spans="2:8" x14ac:dyDescent="0.25">
      <c r="B45" s="70" t="s">
        <v>188</v>
      </c>
      <c r="C45" s="70"/>
      <c r="D45" s="70"/>
      <c r="E45" s="70"/>
      <c r="F45" s="70"/>
      <c r="G45" s="70"/>
      <c r="H45" s="129">
        <f>G45*Listas!$I$7</f>
        <v>0</v>
      </c>
    </row>
    <row r="46" spans="2:8" x14ac:dyDescent="0.25">
      <c r="B46" s="70" t="s">
        <v>188</v>
      </c>
      <c r="C46" s="70"/>
      <c r="D46" s="70"/>
      <c r="E46" s="70"/>
      <c r="F46" s="70"/>
      <c r="G46" s="70"/>
      <c r="H46" s="129">
        <f>G46*Listas!$I$7</f>
        <v>0</v>
      </c>
    </row>
    <row r="47" spans="2:8" x14ac:dyDescent="0.25">
      <c r="B47" s="70" t="s">
        <v>188</v>
      </c>
      <c r="C47" s="70"/>
      <c r="D47" s="70"/>
      <c r="E47" s="70"/>
      <c r="F47" s="70"/>
      <c r="G47" s="70"/>
      <c r="H47" s="129">
        <f>G47*Listas!$I$7</f>
        <v>0</v>
      </c>
    </row>
    <row r="48" spans="2:8" x14ac:dyDescent="0.25">
      <c r="B48" s="70" t="s">
        <v>188</v>
      </c>
      <c r="C48" s="70"/>
      <c r="D48" s="70"/>
      <c r="E48" s="70"/>
      <c r="F48" s="70"/>
      <c r="G48" s="70"/>
      <c r="H48" s="129">
        <f>G48*Listas!$I$7</f>
        <v>0</v>
      </c>
    </row>
    <row r="49" spans="2:8" x14ac:dyDescent="0.25">
      <c r="B49" s="70" t="s">
        <v>188</v>
      </c>
      <c r="C49" s="70"/>
      <c r="D49" s="70"/>
      <c r="E49" s="70"/>
      <c r="F49" s="70"/>
      <c r="G49" s="70"/>
      <c r="H49" s="129">
        <f>G49*Listas!$I$7</f>
        <v>0</v>
      </c>
    </row>
    <row r="50" spans="2:8" x14ac:dyDescent="0.25">
      <c r="B50" s="70" t="s">
        <v>188</v>
      </c>
      <c r="C50" s="70"/>
      <c r="D50" s="70"/>
      <c r="E50" s="70"/>
      <c r="F50" s="70"/>
      <c r="G50" s="70"/>
      <c r="H50" s="129">
        <f>G50*Listas!$I$7</f>
        <v>0</v>
      </c>
    </row>
    <row r="51" spans="2:8" x14ac:dyDescent="0.25">
      <c r="B51" s="70" t="s">
        <v>188</v>
      </c>
      <c r="C51" s="70"/>
      <c r="D51" s="70"/>
      <c r="E51" s="70"/>
      <c r="F51" s="70"/>
      <c r="G51" s="70"/>
      <c r="H51" s="129">
        <f>G51*Listas!$I$7</f>
        <v>0</v>
      </c>
    </row>
    <row r="52" spans="2:8" x14ac:dyDescent="0.25">
      <c r="B52" s="70" t="s">
        <v>188</v>
      </c>
      <c r="C52" s="70"/>
      <c r="D52" s="70"/>
      <c r="E52" s="70"/>
      <c r="F52" s="70"/>
      <c r="G52" s="70"/>
      <c r="H52" s="129">
        <f>G52*Listas!$I$7</f>
        <v>0</v>
      </c>
    </row>
    <row r="53" spans="2:8" x14ac:dyDescent="0.25">
      <c r="B53" s="70" t="s">
        <v>188</v>
      </c>
      <c r="C53" s="70"/>
      <c r="D53" s="70"/>
      <c r="E53" s="70"/>
      <c r="F53" s="70"/>
      <c r="G53" s="70"/>
      <c r="H53" s="129">
        <f>G53*Listas!$I$7</f>
        <v>0</v>
      </c>
    </row>
    <row r="54" spans="2:8" x14ac:dyDescent="0.25">
      <c r="B54" s="70" t="s">
        <v>188</v>
      </c>
      <c r="C54" s="70"/>
      <c r="D54" s="70"/>
      <c r="E54" s="70"/>
      <c r="F54" s="70"/>
      <c r="G54" s="70"/>
      <c r="H54" s="129">
        <f>G54*Listas!$I$7</f>
        <v>0</v>
      </c>
    </row>
    <row r="55" spans="2:8" x14ac:dyDescent="0.25">
      <c r="B55" s="70" t="s">
        <v>188</v>
      </c>
      <c r="C55" s="70"/>
      <c r="D55" s="70"/>
      <c r="E55" s="70"/>
      <c r="F55" s="70"/>
      <c r="G55" s="70"/>
      <c r="H55" s="129">
        <f>G55*Listas!$I$7</f>
        <v>0</v>
      </c>
    </row>
    <row r="56" spans="2:8" x14ac:dyDescent="0.25">
      <c r="B56" s="70" t="s">
        <v>188</v>
      </c>
      <c r="C56" s="70"/>
      <c r="D56" s="70"/>
      <c r="E56" s="70"/>
      <c r="F56" s="70"/>
      <c r="G56" s="70"/>
      <c r="H56" s="129">
        <f>G56*Listas!$I$7</f>
        <v>0</v>
      </c>
    </row>
    <row r="57" spans="2:8" x14ac:dyDescent="0.25">
      <c r="B57" s="70" t="s">
        <v>188</v>
      </c>
      <c r="C57" s="70"/>
      <c r="D57" s="70"/>
      <c r="E57" s="70"/>
      <c r="F57" s="70"/>
      <c r="G57" s="70"/>
      <c r="H57" s="129">
        <f>G57*Listas!$I$7</f>
        <v>0</v>
      </c>
    </row>
    <row r="58" spans="2:8" x14ac:dyDescent="0.25">
      <c r="B58" s="70" t="s">
        <v>188</v>
      </c>
      <c r="C58" s="70"/>
      <c r="D58" s="70"/>
      <c r="E58" s="70"/>
      <c r="F58" s="70"/>
      <c r="G58" s="70"/>
      <c r="H58" s="129">
        <f>G58*Listas!$I$7</f>
        <v>0</v>
      </c>
    </row>
    <row r="59" spans="2:8" x14ac:dyDescent="0.25">
      <c r="B59" s="70" t="s">
        <v>188</v>
      </c>
      <c r="C59" s="70"/>
      <c r="D59" s="70"/>
      <c r="E59" s="70"/>
      <c r="F59" s="70"/>
      <c r="G59" s="70"/>
      <c r="H59" s="129">
        <f>G59*Listas!$I$7</f>
        <v>0</v>
      </c>
    </row>
    <row r="60" spans="2:8" x14ac:dyDescent="0.25">
      <c r="B60" s="70" t="s">
        <v>188</v>
      </c>
      <c r="C60" s="70"/>
      <c r="D60" s="70"/>
      <c r="E60" s="70"/>
      <c r="F60" s="70"/>
      <c r="G60" s="70"/>
      <c r="H60" s="129">
        <f>G60*Listas!$I$7</f>
        <v>0</v>
      </c>
    </row>
    <row r="61" spans="2:8" x14ac:dyDescent="0.25">
      <c r="B61" s="70" t="s">
        <v>188</v>
      </c>
      <c r="C61" s="70"/>
      <c r="D61" s="70"/>
      <c r="E61" s="70"/>
      <c r="F61" s="70"/>
      <c r="G61" s="70"/>
      <c r="H61" s="129">
        <f>G61*Listas!$I$7</f>
        <v>0</v>
      </c>
    </row>
    <row r="62" spans="2:8" x14ac:dyDescent="0.25">
      <c r="B62" s="70" t="s">
        <v>188</v>
      </c>
      <c r="C62" s="70"/>
      <c r="D62" s="70"/>
      <c r="E62" s="70"/>
      <c r="F62" s="70"/>
      <c r="G62" s="70"/>
      <c r="H62" s="129">
        <f>G62*Listas!$I$7</f>
        <v>0</v>
      </c>
    </row>
    <row r="63" spans="2:8" x14ac:dyDescent="0.25">
      <c r="B63" s="70" t="s">
        <v>188</v>
      </c>
      <c r="C63" s="70"/>
      <c r="D63" s="70"/>
      <c r="E63" s="70"/>
      <c r="F63" s="70"/>
      <c r="G63" s="70"/>
      <c r="H63" s="129">
        <f>G63*Listas!$I$7</f>
        <v>0</v>
      </c>
    </row>
    <row r="64" spans="2:8" x14ac:dyDescent="0.25">
      <c r="B64" s="70" t="s">
        <v>188</v>
      </c>
      <c r="C64" s="70"/>
      <c r="D64" s="70"/>
      <c r="E64" s="70"/>
      <c r="F64" s="70"/>
      <c r="G64" s="70"/>
      <c r="H64" s="129">
        <f>G64*Listas!$I$7</f>
        <v>0</v>
      </c>
    </row>
    <row r="65" spans="2:8" x14ac:dyDescent="0.25">
      <c r="B65" s="70" t="s">
        <v>188</v>
      </c>
      <c r="C65" s="70"/>
      <c r="D65" s="70"/>
      <c r="E65" s="70"/>
      <c r="F65" s="70"/>
      <c r="G65" s="70"/>
      <c r="H65" s="129">
        <f>G65*Listas!$I$7</f>
        <v>0</v>
      </c>
    </row>
    <row r="66" spans="2:8" x14ac:dyDescent="0.25">
      <c r="B66" s="70" t="s">
        <v>188</v>
      </c>
      <c r="C66" s="70"/>
      <c r="D66" s="70"/>
      <c r="E66" s="70"/>
      <c r="F66" s="70"/>
      <c r="G66" s="70"/>
      <c r="H66" s="129">
        <f>G66*Listas!$I$7</f>
        <v>0</v>
      </c>
    </row>
    <row r="67" spans="2:8" x14ac:dyDescent="0.25">
      <c r="B67" s="70" t="s">
        <v>188</v>
      </c>
      <c r="C67" s="70"/>
      <c r="D67" s="70"/>
      <c r="E67" s="70"/>
      <c r="F67" s="70"/>
      <c r="G67" s="70"/>
      <c r="H67" s="129">
        <f>G67*Listas!$I$7</f>
        <v>0</v>
      </c>
    </row>
    <row r="68" spans="2:8" x14ac:dyDescent="0.25">
      <c r="B68" s="70" t="s">
        <v>188</v>
      </c>
      <c r="C68" s="70"/>
      <c r="D68" s="70"/>
      <c r="E68" s="70"/>
      <c r="F68" s="70"/>
      <c r="G68" s="70"/>
      <c r="H68" s="129">
        <f>G68*Listas!$I$7</f>
        <v>0</v>
      </c>
    </row>
    <row r="69" spans="2:8" x14ac:dyDescent="0.25">
      <c r="B69" s="70" t="s">
        <v>188</v>
      </c>
      <c r="C69" s="70"/>
      <c r="D69" s="70"/>
      <c r="E69" s="70"/>
      <c r="F69" s="70"/>
      <c r="G69" s="70"/>
      <c r="H69" s="129">
        <f>G69*Listas!$I$7</f>
        <v>0</v>
      </c>
    </row>
    <row r="70" spans="2:8" x14ac:dyDescent="0.25">
      <c r="B70" s="70" t="s">
        <v>188</v>
      </c>
      <c r="C70" s="70"/>
      <c r="D70" s="70"/>
      <c r="E70" s="70"/>
      <c r="F70" s="70"/>
      <c r="G70" s="70"/>
      <c r="H70" s="129">
        <f>G70*Listas!$I$7</f>
        <v>0</v>
      </c>
    </row>
    <row r="71" spans="2:8" x14ac:dyDescent="0.25">
      <c r="B71" s="70" t="s">
        <v>188</v>
      </c>
      <c r="C71" s="70"/>
      <c r="D71" s="70"/>
      <c r="E71" s="70"/>
      <c r="F71" s="70"/>
      <c r="G71" s="70"/>
      <c r="H71" s="129">
        <f>G71*Listas!$I$7</f>
        <v>0</v>
      </c>
    </row>
    <row r="72" spans="2:8" x14ac:dyDescent="0.25">
      <c r="B72" s="70" t="s">
        <v>188</v>
      </c>
      <c r="C72" s="70"/>
      <c r="D72" s="70"/>
      <c r="E72" s="70"/>
      <c r="F72" s="70"/>
      <c r="G72" s="70"/>
      <c r="H72" s="129">
        <f>G72*Listas!$I$7</f>
        <v>0</v>
      </c>
    </row>
    <row r="73" spans="2:8" x14ac:dyDescent="0.25">
      <c r="B73" s="70" t="s">
        <v>188</v>
      </c>
      <c r="C73" s="70"/>
      <c r="D73" s="70"/>
      <c r="E73" s="70"/>
      <c r="F73" s="70"/>
      <c r="G73" s="70"/>
      <c r="H73" s="129">
        <f>G73*Listas!$I$7</f>
        <v>0</v>
      </c>
    </row>
    <row r="74" spans="2:8" x14ac:dyDescent="0.25">
      <c r="B74" s="70" t="s">
        <v>188</v>
      </c>
      <c r="C74" s="70"/>
      <c r="D74" s="70"/>
      <c r="E74" s="70"/>
      <c r="F74" s="70"/>
      <c r="G74" s="70"/>
      <c r="H74" s="129">
        <f>G74*Listas!$I$7</f>
        <v>0</v>
      </c>
    </row>
    <row r="75" spans="2:8" x14ac:dyDescent="0.25">
      <c r="B75" s="70" t="s">
        <v>188</v>
      </c>
      <c r="C75" s="70"/>
      <c r="D75" s="70"/>
      <c r="E75" s="70"/>
      <c r="F75" s="70"/>
      <c r="G75" s="70"/>
      <c r="H75" s="129">
        <f>G75*Listas!$I$7</f>
        <v>0</v>
      </c>
    </row>
    <row r="76" spans="2:8" x14ac:dyDescent="0.25">
      <c r="B76" s="70" t="s">
        <v>188</v>
      </c>
      <c r="C76" s="70"/>
      <c r="D76" s="70"/>
      <c r="E76" s="70"/>
      <c r="F76" s="70"/>
      <c r="G76" s="70"/>
      <c r="H76" s="129">
        <f>G76*Listas!$I$7</f>
        <v>0</v>
      </c>
    </row>
    <row r="77" spans="2:8" x14ac:dyDescent="0.25">
      <c r="B77" s="70" t="s">
        <v>188</v>
      </c>
      <c r="C77" s="70"/>
      <c r="D77" s="70"/>
      <c r="E77" s="70"/>
      <c r="F77" s="70"/>
      <c r="G77" s="70"/>
      <c r="H77" s="129">
        <f>G77*Listas!$I$7</f>
        <v>0</v>
      </c>
    </row>
    <row r="78" spans="2:8" x14ac:dyDescent="0.25">
      <c r="B78" s="70" t="s">
        <v>188</v>
      </c>
      <c r="C78" s="70"/>
      <c r="D78" s="70"/>
      <c r="E78" s="70"/>
      <c r="F78" s="70"/>
      <c r="G78" s="70"/>
      <c r="H78" s="129">
        <f>G78*Listas!$I$7</f>
        <v>0</v>
      </c>
    </row>
    <row r="79" spans="2:8" x14ac:dyDescent="0.25">
      <c r="B79" s="70" t="s">
        <v>188</v>
      </c>
      <c r="C79" s="70"/>
      <c r="D79" s="70"/>
      <c r="E79" s="70"/>
      <c r="F79" s="70"/>
      <c r="G79" s="70"/>
      <c r="H79" s="129">
        <f>G79*Listas!$I$7</f>
        <v>0</v>
      </c>
    </row>
    <row r="80" spans="2:8" x14ac:dyDescent="0.25">
      <c r="B80" s="70" t="s">
        <v>188</v>
      </c>
      <c r="C80" s="70"/>
      <c r="D80" s="70"/>
      <c r="E80" s="70"/>
      <c r="F80" s="70"/>
      <c r="G80" s="70"/>
      <c r="H80" s="129">
        <f>G80*Listas!$I$7</f>
        <v>0</v>
      </c>
    </row>
    <row r="81" spans="2:8" x14ac:dyDescent="0.25">
      <c r="B81" s="70" t="s">
        <v>188</v>
      </c>
      <c r="C81" s="70"/>
      <c r="D81" s="70"/>
      <c r="E81" s="70"/>
      <c r="F81" s="70"/>
      <c r="G81" s="70"/>
      <c r="H81" s="129">
        <f>G81*Listas!$I$7</f>
        <v>0</v>
      </c>
    </row>
    <row r="82" spans="2:8" x14ac:dyDescent="0.25">
      <c r="B82" s="70" t="s">
        <v>188</v>
      </c>
      <c r="C82" s="70"/>
      <c r="D82" s="70"/>
      <c r="E82" s="70"/>
      <c r="F82" s="70"/>
      <c r="G82" s="70"/>
      <c r="H82" s="129">
        <f>G82*Listas!$I$7</f>
        <v>0</v>
      </c>
    </row>
    <row r="83" spans="2:8" x14ac:dyDescent="0.25">
      <c r="B83" s="70" t="s">
        <v>188</v>
      </c>
      <c r="C83" s="70"/>
      <c r="D83" s="70"/>
      <c r="E83" s="70"/>
      <c r="F83" s="70"/>
      <c r="G83" s="70"/>
      <c r="H83" s="129">
        <f>G83*Listas!$I$7</f>
        <v>0</v>
      </c>
    </row>
    <row r="84" spans="2:8" x14ac:dyDescent="0.25">
      <c r="B84" s="70" t="s">
        <v>188</v>
      </c>
      <c r="C84" s="70"/>
      <c r="D84" s="70"/>
      <c r="E84" s="70"/>
      <c r="F84" s="70"/>
      <c r="G84" s="70"/>
      <c r="H84" s="129">
        <f>G84*Listas!$I$7</f>
        <v>0</v>
      </c>
    </row>
    <row r="85" spans="2:8" x14ac:dyDescent="0.25">
      <c r="B85" s="70" t="s">
        <v>188</v>
      </c>
      <c r="C85" s="70"/>
      <c r="D85" s="70"/>
      <c r="E85" s="70"/>
      <c r="F85" s="70"/>
      <c r="G85" s="70"/>
      <c r="H85" s="129">
        <f>G85*Listas!$I$7</f>
        <v>0</v>
      </c>
    </row>
    <row r="86" spans="2:8" x14ac:dyDescent="0.25">
      <c r="B86" s="70" t="s">
        <v>188</v>
      </c>
      <c r="C86" s="70"/>
      <c r="D86" s="70"/>
      <c r="E86" s="70"/>
      <c r="F86" s="70"/>
      <c r="G86" s="70"/>
      <c r="H86" s="129">
        <f>G86*Listas!$I$7</f>
        <v>0</v>
      </c>
    </row>
    <row r="87" spans="2:8" x14ac:dyDescent="0.25">
      <c r="B87" s="70" t="s">
        <v>188</v>
      </c>
      <c r="C87" s="70"/>
      <c r="D87" s="70"/>
      <c r="E87" s="70"/>
      <c r="F87" s="70"/>
      <c r="G87" s="70"/>
      <c r="H87" s="129">
        <f>G87*Listas!$I$7</f>
        <v>0</v>
      </c>
    </row>
    <row r="88" spans="2:8" x14ac:dyDescent="0.25">
      <c r="B88" s="70" t="s">
        <v>188</v>
      </c>
      <c r="C88" s="70"/>
      <c r="D88" s="70"/>
      <c r="E88" s="70"/>
      <c r="F88" s="70"/>
      <c r="G88" s="70"/>
      <c r="H88" s="129">
        <f>G88*Listas!$I$7</f>
        <v>0</v>
      </c>
    </row>
    <row r="89" spans="2:8" x14ac:dyDescent="0.25">
      <c r="B89" s="70" t="s">
        <v>188</v>
      </c>
      <c r="C89" s="70"/>
      <c r="D89" s="70"/>
      <c r="E89" s="70"/>
      <c r="F89" s="70"/>
      <c r="G89" s="70"/>
      <c r="H89" s="129">
        <f>G89*Listas!$I$7</f>
        <v>0</v>
      </c>
    </row>
    <row r="90" spans="2:8" x14ac:dyDescent="0.25">
      <c r="B90" s="70" t="s">
        <v>188</v>
      </c>
      <c r="C90" s="70"/>
      <c r="D90" s="70"/>
      <c r="E90" s="70"/>
      <c r="F90" s="70"/>
      <c r="G90" s="70"/>
      <c r="H90" s="129">
        <f>G90*Listas!$I$7</f>
        <v>0</v>
      </c>
    </row>
    <row r="91" spans="2:8" x14ac:dyDescent="0.25">
      <c r="B91" s="70" t="s">
        <v>188</v>
      </c>
      <c r="C91" s="70"/>
      <c r="D91" s="70"/>
      <c r="E91" s="70"/>
      <c r="F91" s="70"/>
      <c r="G91" s="70"/>
      <c r="H91" s="129">
        <f>G91*Listas!$I$7</f>
        <v>0</v>
      </c>
    </row>
    <row r="92" spans="2:8" x14ac:dyDescent="0.25">
      <c r="B92" s="70" t="s">
        <v>188</v>
      </c>
      <c r="C92" s="70"/>
      <c r="D92" s="70"/>
      <c r="E92" s="70"/>
      <c r="F92" s="70"/>
      <c r="G92" s="70"/>
      <c r="H92" s="129">
        <f>G92*Listas!$I$7</f>
        <v>0</v>
      </c>
    </row>
    <row r="93" spans="2:8" x14ac:dyDescent="0.25">
      <c r="B93" s="70" t="s">
        <v>188</v>
      </c>
      <c r="C93" s="70"/>
      <c r="D93" s="70"/>
      <c r="E93" s="70"/>
      <c r="F93" s="70"/>
      <c r="G93" s="70"/>
      <c r="H93" s="129">
        <f>G93*Listas!$I$7</f>
        <v>0</v>
      </c>
    </row>
    <row r="94" spans="2:8" x14ac:dyDescent="0.25">
      <c r="B94" s="70" t="s">
        <v>188</v>
      </c>
      <c r="C94" s="70"/>
      <c r="D94" s="70"/>
      <c r="E94" s="70"/>
      <c r="F94" s="70"/>
      <c r="G94" s="70"/>
      <c r="H94" s="129">
        <f>G94*Listas!$I$7</f>
        <v>0</v>
      </c>
    </row>
    <row r="95" spans="2:8" x14ac:dyDescent="0.25">
      <c r="B95" s="70" t="s">
        <v>188</v>
      </c>
      <c r="C95" s="70"/>
      <c r="D95" s="70"/>
      <c r="E95" s="70"/>
      <c r="F95" s="70"/>
      <c r="G95" s="70"/>
      <c r="H95" s="129">
        <f>G95*Listas!$I$7</f>
        <v>0</v>
      </c>
    </row>
    <row r="96" spans="2:8" x14ac:dyDescent="0.25">
      <c r="B96" s="70" t="s">
        <v>188</v>
      </c>
      <c r="C96" s="70"/>
      <c r="D96" s="70"/>
      <c r="E96" s="70"/>
      <c r="F96" s="70"/>
      <c r="G96" s="70"/>
      <c r="H96" s="129">
        <f>G96*Listas!$I$7</f>
        <v>0</v>
      </c>
    </row>
    <row r="97" spans="2:8" x14ac:dyDescent="0.25">
      <c r="B97" s="70" t="s">
        <v>188</v>
      </c>
      <c r="C97" s="70"/>
      <c r="D97" s="70"/>
      <c r="E97" s="70"/>
      <c r="F97" s="70"/>
      <c r="G97" s="70"/>
      <c r="H97" s="129">
        <f>G97*Listas!$I$7</f>
        <v>0</v>
      </c>
    </row>
    <row r="98" spans="2:8" x14ac:dyDescent="0.25">
      <c r="B98" s="70" t="s">
        <v>188</v>
      </c>
      <c r="C98" s="70"/>
      <c r="D98" s="70"/>
      <c r="E98" s="70"/>
      <c r="F98" s="70"/>
      <c r="G98" s="70"/>
      <c r="H98" s="129">
        <f>G98*Listas!$I$7</f>
        <v>0</v>
      </c>
    </row>
    <row r="99" spans="2:8" x14ac:dyDescent="0.25">
      <c r="B99" s="70" t="s">
        <v>188</v>
      </c>
      <c r="C99" s="70"/>
      <c r="D99" s="70"/>
      <c r="E99" s="70"/>
      <c r="F99" s="70"/>
      <c r="G99" s="70"/>
      <c r="H99" s="129">
        <f>G99*Listas!$I$7</f>
        <v>0</v>
      </c>
    </row>
    <row r="100" spans="2:8" x14ac:dyDescent="0.25">
      <c r="B100" s="70" t="s">
        <v>188</v>
      </c>
      <c r="C100" s="70"/>
      <c r="D100" s="70"/>
      <c r="E100" s="70"/>
      <c r="F100" s="70"/>
      <c r="G100" s="70"/>
      <c r="H100" s="129">
        <f>G100*Listas!$I$7</f>
        <v>0</v>
      </c>
    </row>
    <row r="101" spans="2:8" x14ac:dyDescent="0.25">
      <c r="B101" s="70" t="s">
        <v>188</v>
      </c>
      <c r="C101" s="70"/>
      <c r="D101" s="70"/>
      <c r="E101" s="70"/>
      <c r="F101" s="70"/>
      <c r="G101" s="70"/>
      <c r="H101" s="129">
        <f>G101*Listas!$I$7</f>
        <v>0</v>
      </c>
    </row>
    <row r="102" spans="2:8" x14ac:dyDescent="0.25">
      <c r="B102" s="70" t="s">
        <v>188</v>
      </c>
      <c r="C102" s="70"/>
      <c r="D102" s="70"/>
      <c r="E102" s="70"/>
      <c r="F102" s="70"/>
      <c r="G102" s="70"/>
      <c r="H102" s="129">
        <f>G102*Listas!$I$7</f>
        <v>0</v>
      </c>
    </row>
    <row r="103" spans="2:8" x14ac:dyDescent="0.25">
      <c r="B103" s="70" t="s">
        <v>188</v>
      </c>
      <c r="C103" s="70"/>
      <c r="D103" s="70"/>
      <c r="E103" s="70"/>
      <c r="F103" s="70"/>
      <c r="G103" s="70"/>
      <c r="H103" s="129">
        <f>G103*Listas!$I$7</f>
        <v>0</v>
      </c>
    </row>
    <row r="104" spans="2:8" x14ac:dyDescent="0.25">
      <c r="B104" s="70" t="s">
        <v>188</v>
      </c>
      <c r="C104" s="70"/>
      <c r="D104" s="70"/>
      <c r="E104" s="70"/>
      <c r="F104" s="70"/>
      <c r="G104" s="70"/>
      <c r="H104" s="129">
        <f>G104*Listas!$I$7</f>
        <v>0</v>
      </c>
    </row>
    <row r="105" spans="2:8" x14ac:dyDescent="0.25">
      <c r="B105" s="70" t="s">
        <v>188</v>
      </c>
      <c r="C105" s="70"/>
      <c r="D105" s="70"/>
      <c r="E105" s="70"/>
      <c r="F105" s="70"/>
      <c r="G105" s="70"/>
      <c r="H105" s="129">
        <f>G105*Listas!$I$7</f>
        <v>0</v>
      </c>
    </row>
    <row r="106" spans="2:8" x14ac:dyDescent="0.25">
      <c r="B106" s="70" t="s">
        <v>188</v>
      </c>
      <c r="C106" s="70"/>
      <c r="D106" s="70"/>
      <c r="E106" s="70"/>
      <c r="F106" s="70"/>
      <c r="G106" s="70"/>
      <c r="H106" s="129">
        <f>G106*Listas!$I$7</f>
        <v>0</v>
      </c>
    </row>
    <row r="107" spans="2:8" x14ac:dyDescent="0.25">
      <c r="B107" s="70" t="s">
        <v>188</v>
      </c>
      <c r="C107" s="70"/>
      <c r="D107" s="70"/>
      <c r="E107" s="70"/>
      <c r="F107" s="70"/>
      <c r="G107" s="70"/>
      <c r="H107" s="129">
        <f>G107*Listas!$I$7</f>
        <v>0</v>
      </c>
    </row>
    <row r="108" spans="2:8" x14ac:dyDescent="0.25">
      <c r="B108" s="70" t="s">
        <v>188</v>
      </c>
      <c r="C108" s="70"/>
      <c r="D108" s="70"/>
      <c r="E108" s="70"/>
      <c r="F108" s="70"/>
      <c r="G108" s="70"/>
      <c r="H108" s="129">
        <f>G108*Listas!$I$7</f>
        <v>0</v>
      </c>
    </row>
    <row r="109" spans="2:8" x14ac:dyDescent="0.25">
      <c r="B109" s="70" t="s">
        <v>188</v>
      </c>
      <c r="C109" s="70"/>
      <c r="D109" s="70"/>
      <c r="E109" s="70"/>
      <c r="F109" s="70"/>
      <c r="G109" s="70"/>
      <c r="H109" s="129">
        <f>G109*Listas!$I$7</f>
        <v>0</v>
      </c>
    </row>
    <row r="110" spans="2:8" x14ac:dyDescent="0.25">
      <c r="B110" s="70" t="s">
        <v>188</v>
      </c>
      <c r="C110" s="70"/>
      <c r="D110" s="70"/>
      <c r="E110" s="70"/>
      <c r="F110" s="70"/>
      <c r="G110" s="70"/>
      <c r="H110" s="129">
        <f>G110*Listas!$I$7</f>
        <v>0</v>
      </c>
    </row>
    <row r="111" spans="2:8" x14ac:dyDescent="0.25">
      <c r="B111" s="70" t="s">
        <v>188</v>
      </c>
      <c r="C111" s="70"/>
      <c r="D111" s="70"/>
      <c r="E111" s="70"/>
      <c r="F111" s="70"/>
      <c r="G111" s="70"/>
      <c r="H111" s="129">
        <f>G111*Listas!$I$7</f>
        <v>0</v>
      </c>
    </row>
    <row r="112" spans="2:8" x14ac:dyDescent="0.25">
      <c r="B112" s="70" t="s">
        <v>188</v>
      </c>
      <c r="C112" s="70"/>
      <c r="D112" s="70"/>
      <c r="E112" s="70"/>
      <c r="F112" s="70"/>
      <c r="G112" s="70"/>
      <c r="H112" s="129">
        <f>G112*Listas!$I$7</f>
        <v>0</v>
      </c>
    </row>
    <row r="113" spans="2:8" x14ac:dyDescent="0.25">
      <c r="B113" s="70" t="s">
        <v>188</v>
      </c>
      <c r="C113" s="70"/>
      <c r="D113" s="70"/>
      <c r="E113" s="70"/>
      <c r="F113" s="70"/>
      <c r="G113" s="70"/>
      <c r="H113" s="129">
        <f>G113*Listas!$I$7</f>
        <v>0</v>
      </c>
    </row>
    <row r="114" spans="2:8" x14ac:dyDescent="0.25">
      <c r="B114" s="70" t="s">
        <v>188</v>
      </c>
      <c r="C114" s="70"/>
      <c r="D114" s="70"/>
      <c r="E114" s="70"/>
      <c r="F114" s="70"/>
      <c r="G114" s="70"/>
      <c r="H114" s="129">
        <f>G114*Listas!$I$7</f>
        <v>0</v>
      </c>
    </row>
    <row r="115" spans="2:8" x14ac:dyDescent="0.25">
      <c r="B115" s="70" t="s">
        <v>188</v>
      </c>
      <c r="C115" s="70"/>
      <c r="D115" s="70"/>
      <c r="E115" s="70"/>
      <c r="F115" s="70"/>
      <c r="G115" s="70"/>
      <c r="H115" s="129">
        <f>G115*Listas!$I$7</f>
        <v>0</v>
      </c>
    </row>
    <row r="116" spans="2:8" x14ac:dyDescent="0.25">
      <c r="B116" s="70" t="s">
        <v>188</v>
      </c>
      <c r="C116" s="70"/>
      <c r="D116" s="70"/>
      <c r="E116" s="70"/>
      <c r="F116" s="70"/>
      <c r="G116" s="70"/>
      <c r="H116" s="129">
        <f>G116*Listas!$I$7</f>
        <v>0</v>
      </c>
    </row>
    <row r="117" spans="2:8" x14ac:dyDescent="0.25">
      <c r="B117" s="70" t="s">
        <v>188</v>
      </c>
      <c r="C117" s="70"/>
      <c r="D117" s="70"/>
      <c r="E117" s="70"/>
      <c r="F117" s="70"/>
      <c r="G117" s="70"/>
      <c r="H117" s="129">
        <f>G117*Listas!$I$7</f>
        <v>0</v>
      </c>
    </row>
    <row r="118" spans="2:8" x14ac:dyDescent="0.25">
      <c r="B118" s="70" t="s">
        <v>188</v>
      </c>
      <c r="C118" s="70"/>
      <c r="D118" s="70"/>
      <c r="E118" s="70"/>
      <c r="F118" s="70"/>
      <c r="G118" s="70"/>
      <c r="H118" s="129">
        <f>G118*Listas!$I$7</f>
        <v>0</v>
      </c>
    </row>
    <row r="119" spans="2:8" x14ac:dyDescent="0.25">
      <c r="B119" s="70" t="s">
        <v>188</v>
      </c>
      <c r="C119" s="70"/>
      <c r="D119" s="70"/>
      <c r="E119" s="70"/>
      <c r="F119" s="70"/>
      <c r="G119" s="70"/>
      <c r="H119" s="129">
        <f>G119*Listas!$I$7</f>
        <v>0</v>
      </c>
    </row>
    <row r="120" spans="2:8" x14ac:dyDescent="0.25">
      <c r="B120" s="70" t="s">
        <v>188</v>
      </c>
      <c r="C120" s="70"/>
      <c r="D120" s="70"/>
      <c r="E120" s="70"/>
      <c r="F120" s="70"/>
      <c r="G120" s="70"/>
      <c r="H120" s="129">
        <f>G120*Listas!$I$7</f>
        <v>0</v>
      </c>
    </row>
    <row r="121" spans="2:8" x14ac:dyDescent="0.25">
      <c r="B121" s="70" t="s">
        <v>188</v>
      </c>
      <c r="C121" s="70"/>
      <c r="D121" s="70"/>
      <c r="E121" s="70"/>
      <c r="F121" s="70"/>
      <c r="G121" s="70"/>
      <c r="H121" s="129">
        <f>G121*Listas!$I$7</f>
        <v>0</v>
      </c>
    </row>
    <row r="122" spans="2:8" x14ac:dyDescent="0.25">
      <c r="B122" s="70" t="s">
        <v>188</v>
      </c>
      <c r="C122" s="70"/>
      <c r="D122" s="70"/>
      <c r="E122" s="70"/>
      <c r="F122" s="70"/>
      <c r="G122" s="70"/>
      <c r="H122" s="129">
        <f>G122*Listas!$I$7</f>
        <v>0</v>
      </c>
    </row>
    <row r="123" spans="2:8" x14ac:dyDescent="0.25">
      <c r="B123" s="70" t="s">
        <v>188</v>
      </c>
      <c r="C123" s="70"/>
      <c r="D123" s="70"/>
      <c r="E123" s="70"/>
      <c r="F123" s="70"/>
      <c r="G123" s="70"/>
      <c r="H123" s="129">
        <f>G123*Listas!$I$7</f>
        <v>0</v>
      </c>
    </row>
    <row r="124" spans="2:8" x14ac:dyDescent="0.25">
      <c r="B124" s="70" t="s">
        <v>188</v>
      </c>
      <c r="C124" s="70"/>
      <c r="D124" s="70"/>
      <c r="E124" s="70"/>
      <c r="F124" s="70"/>
      <c r="G124" s="70"/>
      <c r="H124" s="129">
        <f>G124*Listas!$I$7</f>
        <v>0</v>
      </c>
    </row>
    <row r="125" spans="2:8" x14ac:dyDescent="0.25">
      <c r="B125" s="70" t="s">
        <v>188</v>
      </c>
      <c r="C125" s="70"/>
      <c r="D125" s="70"/>
      <c r="E125" s="70"/>
      <c r="F125" s="70"/>
      <c r="G125" s="70"/>
      <c r="H125" s="129">
        <f>G125*Listas!$I$7</f>
        <v>0</v>
      </c>
    </row>
    <row r="126" spans="2:8" x14ac:dyDescent="0.25">
      <c r="B126" s="70" t="s">
        <v>188</v>
      </c>
      <c r="C126" s="70"/>
      <c r="D126" s="70"/>
      <c r="E126" s="70"/>
      <c r="F126" s="70"/>
      <c r="G126" s="70"/>
      <c r="H126" s="129">
        <f>G126*Listas!$I$7</f>
        <v>0</v>
      </c>
    </row>
    <row r="127" spans="2:8" x14ac:dyDescent="0.25">
      <c r="B127" s="70" t="s">
        <v>188</v>
      </c>
      <c r="C127" s="70"/>
      <c r="D127" s="70"/>
      <c r="E127" s="70"/>
      <c r="F127" s="70"/>
      <c r="G127" s="70"/>
      <c r="H127" s="129">
        <f>G127*Listas!$I$7</f>
        <v>0</v>
      </c>
    </row>
    <row r="128" spans="2:8" x14ac:dyDescent="0.25">
      <c r="B128" s="70" t="s">
        <v>188</v>
      </c>
      <c r="C128" s="70"/>
      <c r="D128" s="70"/>
      <c r="E128" s="70"/>
      <c r="F128" s="70"/>
      <c r="G128" s="70"/>
      <c r="H128" s="129">
        <f>G128*Listas!$I$7</f>
        <v>0</v>
      </c>
    </row>
    <row r="129" spans="2:8" x14ac:dyDescent="0.25">
      <c r="B129" s="70" t="s">
        <v>188</v>
      </c>
      <c r="C129" s="70"/>
      <c r="D129" s="70"/>
      <c r="E129" s="70"/>
      <c r="F129" s="70"/>
      <c r="G129" s="70"/>
      <c r="H129" s="129">
        <f>G129*Listas!$I$7</f>
        <v>0</v>
      </c>
    </row>
    <row r="130" spans="2:8" x14ac:dyDescent="0.25">
      <c r="B130" s="70" t="s">
        <v>188</v>
      </c>
      <c r="C130" s="70"/>
      <c r="D130" s="70"/>
      <c r="E130" s="70"/>
      <c r="F130" s="70"/>
      <c r="G130" s="70"/>
      <c r="H130" s="129">
        <f>G130*Listas!$I$7</f>
        <v>0</v>
      </c>
    </row>
    <row r="131" spans="2:8" x14ac:dyDescent="0.25">
      <c r="B131" s="70" t="s">
        <v>188</v>
      </c>
      <c r="C131" s="70"/>
      <c r="D131" s="70"/>
      <c r="E131" s="70"/>
      <c r="F131" s="70"/>
      <c r="G131" s="70"/>
      <c r="H131" s="129">
        <f>G131*Listas!$I$7</f>
        <v>0</v>
      </c>
    </row>
    <row r="132" spans="2:8" x14ac:dyDescent="0.25">
      <c r="B132" s="70" t="s">
        <v>188</v>
      </c>
      <c r="C132" s="70"/>
      <c r="D132" s="70"/>
      <c r="E132" s="70"/>
      <c r="F132" s="70"/>
      <c r="G132" s="70"/>
      <c r="H132" s="129">
        <f>G132*Listas!$I$7</f>
        <v>0</v>
      </c>
    </row>
    <row r="133" spans="2:8" x14ac:dyDescent="0.25">
      <c r="B133" s="70" t="s">
        <v>188</v>
      </c>
      <c r="C133" s="70"/>
      <c r="D133" s="70"/>
      <c r="E133" s="70"/>
      <c r="F133" s="70"/>
      <c r="G133" s="70"/>
      <c r="H133" s="129">
        <f>G133*Listas!$I$7</f>
        <v>0</v>
      </c>
    </row>
    <row r="134" spans="2:8" x14ac:dyDescent="0.25">
      <c r="B134" s="70" t="s">
        <v>188</v>
      </c>
      <c r="C134" s="70"/>
      <c r="D134" s="70"/>
      <c r="E134" s="70"/>
      <c r="F134" s="70"/>
      <c r="G134" s="70"/>
      <c r="H134" s="129">
        <f>G134*Listas!$I$7</f>
        <v>0</v>
      </c>
    </row>
    <row r="135" spans="2:8" x14ac:dyDescent="0.25">
      <c r="B135" s="70" t="s">
        <v>188</v>
      </c>
      <c r="C135" s="70"/>
      <c r="D135" s="70"/>
      <c r="E135" s="70"/>
      <c r="F135" s="70"/>
      <c r="G135" s="70"/>
      <c r="H135" s="129">
        <f>G135*Listas!$I$7</f>
        <v>0</v>
      </c>
    </row>
    <row r="136" spans="2:8" x14ac:dyDescent="0.25">
      <c r="B136" s="70" t="s">
        <v>188</v>
      </c>
      <c r="C136" s="70"/>
      <c r="D136" s="70"/>
      <c r="E136" s="70"/>
      <c r="F136" s="70"/>
      <c r="G136" s="70"/>
      <c r="H136" s="129">
        <f>G136*Listas!$I$7</f>
        <v>0</v>
      </c>
    </row>
    <row r="137" spans="2:8" x14ac:dyDescent="0.25">
      <c r="B137" s="70" t="s">
        <v>188</v>
      </c>
      <c r="C137" s="70"/>
      <c r="D137" s="70"/>
      <c r="E137" s="70"/>
      <c r="F137" s="70"/>
      <c r="G137" s="70"/>
      <c r="H137" s="129">
        <f>G137*Listas!$I$7</f>
        <v>0</v>
      </c>
    </row>
    <row r="138" spans="2:8" x14ac:dyDescent="0.25">
      <c r="B138" s="70" t="s">
        <v>188</v>
      </c>
      <c r="C138" s="70"/>
      <c r="D138" s="70"/>
      <c r="E138" s="70"/>
      <c r="F138" s="70"/>
      <c r="G138" s="70"/>
      <c r="H138" s="129">
        <f>G138*Listas!$I$7</f>
        <v>0</v>
      </c>
    </row>
    <row r="139" spans="2:8" x14ac:dyDescent="0.25">
      <c r="B139" s="70" t="s">
        <v>188</v>
      </c>
      <c r="C139" s="70"/>
      <c r="D139" s="70"/>
      <c r="E139" s="70"/>
      <c r="F139" s="70"/>
      <c r="G139" s="70"/>
      <c r="H139" s="129">
        <f>G139*Listas!$I$7</f>
        <v>0</v>
      </c>
    </row>
    <row r="140" spans="2:8" x14ac:dyDescent="0.25">
      <c r="B140" s="70" t="s">
        <v>188</v>
      </c>
      <c r="C140" s="70"/>
      <c r="D140" s="70"/>
      <c r="E140" s="70"/>
      <c r="F140" s="70"/>
      <c r="G140" s="70"/>
      <c r="H140" s="129">
        <f>G140*Listas!$I$7</f>
        <v>0</v>
      </c>
    </row>
    <row r="141" spans="2:8" x14ac:dyDescent="0.25">
      <c r="B141" s="70" t="s">
        <v>188</v>
      </c>
      <c r="C141" s="70"/>
      <c r="D141" s="70"/>
      <c r="E141" s="70"/>
      <c r="F141" s="70"/>
      <c r="G141" s="70"/>
      <c r="H141" s="129">
        <f>G141*Listas!$I$7</f>
        <v>0</v>
      </c>
    </row>
    <row r="142" spans="2:8" x14ac:dyDescent="0.25">
      <c r="B142" s="70" t="s">
        <v>188</v>
      </c>
      <c r="C142" s="70"/>
      <c r="D142" s="70"/>
      <c r="E142" s="70"/>
      <c r="F142" s="70"/>
      <c r="G142" s="70"/>
      <c r="H142" s="129">
        <f>G142*Listas!$I$7</f>
        <v>0</v>
      </c>
    </row>
    <row r="143" spans="2:8" x14ac:dyDescent="0.25">
      <c r="B143" s="70" t="s">
        <v>188</v>
      </c>
      <c r="C143" s="70"/>
      <c r="D143" s="70"/>
      <c r="E143" s="70"/>
      <c r="F143" s="70"/>
      <c r="G143" s="70"/>
      <c r="H143" s="129">
        <f>G143*Listas!$I$7</f>
        <v>0</v>
      </c>
    </row>
    <row r="144" spans="2:8" x14ac:dyDescent="0.25">
      <c r="B144" s="70" t="s">
        <v>188</v>
      </c>
      <c r="C144" s="70"/>
      <c r="D144" s="70"/>
      <c r="E144" s="70"/>
      <c r="F144" s="70"/>
      <c r="G144" s="70"/>
      <c r="H144" s="129">
        <f>G144*Listas!$I$7</f>
        <v>0</v>
      </c>
    </row>
    <row r="145" spans="2:8" x14ac:dyDescent="0.25">
      <c r="B145" s="70" t="s">
        <v>188</v>
      </c>
      <c r="C145" s="70"/>
      <c r="D145" s="70"/>
      <c r="E145" s="70"/>
      <c r="F145" s="70"/>
      <c r="G145" s="70"/>
      <c r="H145" s="129">
        <f>G145*Listas!$I$7</f>
        <v>0</v>
      </c>
    </row>
    <row r="146" spans="2:8" x14ac:dyDescent="0.25">
      <c r="B146" s="70" t="s">
        <v>188</v>
      </c>
      <c r="C146" s="70"/>
      <c r="D146" s="70"/>
      <c r="E146" s="70"/>
      <c r="F146" s="70"/>
      <c r="G146" s="70"/>
      <c r="H146" s="129">
        <f>G146*Listas!$I$7</f>
        <v>0</v>
      </c>
    </row>
    <row r="147" spans="2:8" x14ac:dyDescent="0.25">
      <c r="B147" s="70" t="s">
        <v>188</v>
      </c>
      <c r="C147" s="70"/>
      <c r="D147" s="70"/>
      <c r="E147" s="70"/>
      <c r="F147" s="70"/>
      <c r="G147" s="70"/>
      <c r="H147" s="129">
        <f>G147*Listas!$I$7</f>
        <v>0</v>
      </c>
    </row>
    <row r="148" spans="2:8" x14ac:dyDescent="0.25">
      <c r="B148" s="70" t="s">
        <v>188</v>
      </c>
      <c r="C148" s="70"/>
      <c r="D148" s="70"/>
      <c r="E148" s="70"/>
      <c r="F148" s="70"/>
      <c r="G148" s="70"/>
      <c r="H148" s="129">
        <f>G148*Listas!$I$7</f>
        <v>0</v>
      </c>
    </row>
    <row r="149" spans="2:8" x14ac:dyDescent="0.25">
      <c r="B149" s="70" t="s">
        <v>188</v>
      </c>
      <c r="C149" s="70"/>
      <c r="D149" s="70"/>
      <c r="E149" s="70"/>
      <c r="F149" s="70"/>
      <c r="G149" s="70"/>
      <c r="H149" s="129">
        <f>G149*Listas!$I$7</f>
        <v>0</v>
      </c>
    </row>
    <row r="150" spans="2:8" x14ac:dyDescent="0.25">
      <c r="B150" s="70" t="s">
        <v>188</v>
      </c>
      <c r="C150" s="70"/>
      <c r="D150" s="70"/>
      <c r="E150" s="70"/>
      <c r="F150" s="70"/>
      <c r="G150" s="70"/>
      <c r="H150" s="129">
        <f>G150*Listas!$I$7</f>
        <v>0</v>
      </c>
    </row>
    <row r="151" spans="2:8" x14ac:dyDescent="0.25">
      <c r="B151" s="70" t="s">
        <v>188</v>
      </c>
      <c r="C151" s="70"/>
      <c r="D151" s="70"/>
      <c r="E151" s="70"/>
      <c r="F151" s="70"/>
      <c r="G151" s="70"/>
      <c r="H151" s="129">
        <f>G151*Listas!$I$7</f>
        <v>0</v>
      </c>
    </row>
    <row r="152" spans="2:8" x14ac:dyDescent="0.25">
      <c r="B152" s="70" t="s">
        <v>188</v>
      </c>
      <c r="C152" s="70"/>
      <c r="D152" s="70"/>
      <c r="E152" s="70"/>
      <c r="F152" s="70"/>
      <c r="G152" s="70"/>
      <c r="H152" s="129">
        <f>G152*Listas!$I$7</f>
        <v>0</v>
      </c>
    </row>
    <row r="153" spans="2:8" x14ac:dyDescent="0.25">
      <c r="B153" s="70" t="s">
        <v>188</v>
      </c>
      <c r="C153" s="70"/>
      <c r="D153" s="70"/>
      <c r="E153" s="70"/>
      <c r="F153" s="70"/>
      <c r="G153" s="70"/>
      <c r="H153" s="129">
        <f>G153*Listas!$I$7</f>
        <v>0</v>
      </c>
    </row>
    <row r="154" spans="2:8" x14ac:dyDescent="0.25">
      <c r="B154" s="70" t="s">
        <v>188</v>
      </c>
      <c r="C154" s="70"/>
      <c r="D154" s="70"/>
      <c r="E154" s="70"/>
      <c r="F154" s="70"/>
      <c r="G154" s="70"/>
      <c r="H154" s="129">
        <f>G154*Listas!$I$7</f>
        <v>0</v>
      </c>
    </row>
    <row r="155" spans="2:8" x14ac:dyDescent="0.25">
      <c r="B155" s="70" t="s">
        <v>188</v>
      </c>
      <c r="C155" s="70"/>
      <c r="D155" s="70"/>
      <c r="E155" s="70"/>
      <c r="F155" s="70"/>
      <c r="G155" s="70"/>
      <c r="H155" s="129">
        <f>G155*Listas!$I$7</f>
        <v>0</v>
      </c>
    </row>
    <row r="156" spans="2:8" x14ac:dyDescent="0.25">
      <c r="B156" s="70" t="s">
        <v>188</v>
      </c>
      <c r="C156" s="70"/>
      <c r="D156" s="70"/>
      <c r="E156" s="70"/>
      <c r="F156" s="70"/>
      <c r="G156" s="70"/>
      <c r="H156" s="129">
        <f>G156*Listas!$I$7</f>
        <v>0</v>
      </c>
    </row>
    <row r="157" spans="2:8" x14ac:dyDescent="0.25">
      <c r="B157" s="70" t="s">
        <v>188</v>
      </c>
      <c r="C157" s="70"/>
      <c r="D157" s="70"/>
      <c r="E157" s="70"/>
      <c r="F157" s="70"/>
      <c r="G157" s="70"/>
      <c r="H157" s="129">
        <f>G157*Listas!$I$7</f>
        <v>0</v>
      </c>
    </row>
    <row r="158" spans="2:8" x14ac:dyDescent="0.25">
      <c r="B158" s="70" t="s">
        <v>188</v>
      </c>
      <c r="C158" s="70"/>
      <c r="D158" s="70"/>
      <c r="E158" s="70"/>
      <c r="F158" s="70"/>
      <c r="G158" s="70"/>
      <c r="H158" s="129">
        <f>G158*Listas!$I$7</f>
        <v>0</v>
      </c>
    </row>
    <row r="159" spans="2:8" x14ac:dyDescent="0.25">
      <c r="B159" s="70" t="s">
        <v>188</v>
      </c>
      <c r="C159" s="70"/>
      <c r="D159" s="70"/>
      <c r="E159" s="70"/>
      <c r="F159" s="70"/>
      <c r="G159" s="70"/>
      <c r="H159" s="129">
        <f>G159*Listas!$I$7</f>
        <v>0</v>
      </c>
    </row>
    <row r="160" spans="2:8" x14ac:dyDescent="0.25">
      <c r="B160" s="70" t="s">
        <v>188</v>
      </c>
      <c r="C160" s="70"/>
      <c r="D160" s="70"/>
      <c r="E160" s="70"/>
      <c r="F160" s="70"/>
      <c r="G160" s="70"/>
      <c r="H160" s="129">
        <f>G160*Listas!$I$7</f>
        <v>0</v>
      </c>
    </row>
    <row r="161" spans="2:8" x14ac:dyDescent="0.25">
      <c r="B161" s="70" t="s">
        <v>188</v>
      </c>
      <c r="C161" s="70"/>
      <c r="D161" s="70"/>
      <c r="E161" s="70"/>
      <c r="F161" s="70"/>
      <c r="G161" s="70"/>
      <c r="H161" s="129">
        <f>G161*Listas!$I$7</f>
        <v>0</v>
      </c>
    </row>
    <row r="162" spans="2:8" x14ac:dyDescent="0.25">
      <c r="B162" s="70" t="s">
        <v>188</v>
      </c>
      <c r="C162" s="70"/>
      <c r="D162" s="70"/>
      <c r="E162" s="70"/>
      <c r="F162" s="70"/>
      <c r="G162" s="70"/>
      <c r="H162" s="129">
        <f>G162*Listas!$I$7</f>
        <v>0</v>
      </c>
    </row>
    <row r="163" spans="2:8" x14ac:dyDescent="0.25">
      <c r="B163" s="70" t="s">
        <v>188</v>
      </c>
      <c r="C163" s="70"/>
      <c r="D163" s="70"/>
      <c r="E163" s="70"/>
      <c r="F163" s="70"/>
      <c r="G163" s="70"/>
      <c r="H163" s="129">
        <f>G163*Listas!$I$7</f>
        <v>0</v>
      </c>
    </row>
    <row r="164" spans="2:8" x14ac:dyDescent="0.25">
      <c r="B164" s="70" t="s">
        <v>188</v>
      </c>
      <c r="C164" s="70"/>
      <c r="D164" s="70"/>
      <c r="E164" s="70"/>
      <c r="F164" s="70"/>
      <c r="G164" s="70"/>
      <c r="H164" s="129">
        <f>G164*Listas!$I$7</f>
        <v>0</v>
      </c>
    </row>
    <row r="165" spans="2:8" x14ac:dyDescent="0.25">
      <c r="B165" s="70" t="s">
        <v>188</v>
      </c>
      <c r="C165" s="70"/>
      <c r="D165" s="70"/>
      <c r="E165" s="70"/>
      <c r="F165" s="70"/>
      <c r="G165" s="70"/>
      <c r="H165" s="129">
        <f>G165*Listas!$I$7</f>
        <v>0</v>
      </c>
    </row>
    <row r="166" spans="2:8" x14ac:dyDescent="0.25">
      <c r="B166" s="70" t="s">
        <v>188</v>
      </c>
      <c r="C166" s="70"/>
      <c r="D166" s="70"/>
      <c r="E166" s="70"/>
      <c r="F166" s="70"/>
      <c r="G166" s="70"/>
      <c r="H166" s="129">
        <f>G166*Listas!$I$7</f>
        <v>0</v>
      </c>
    </row>
    <row r="167" spans="2:8" x14ac:dyDescent="0.25">
      <c r="B167" s="70" t="s">
        <v>188</v>
      </c>
      <c r="C167" s="70"/>
      <c r="D167" s="70"/>
      <c r="E167" s="70"/>
      <c r="F167" s="70"/>
      <c r="G167" s="70"/>
      <c r="H167" s="129">
        <f>G167*Listas!$I$7</f>
        <v>0</v>
      </c>
    </row>
    <row r="168" spans="2:8" x14ac:dyDescent="0.25">
      <c r="B168" s="70" t="s">
        <v>188</v>
      </c>
      <c r="C168" s="70"/>
      <c r="D168" s="70"/>
      <c r="E168" s="70"/>
      <c r="F168" s="70"/>
      <c r="G168" s="70"/>
      <c r="H168" s="129">
        <f>G168*Listas!$I$7</f>
        <v>0</v>
      </c>
    </row>
    <row r="169" spans="2:8" x14ac:dyDescent="0.25">
      <c r="B169" s="70" t="s">
        <v>188</v>
      </c>
      <c r="C169" s="70"/>
      <c r="D169" s="70"/>
      <c r="E169" s="70"/>
      <c r="F169" s="70"/>
      <c r="G169" s="70"/>
      <c r="H169" s="129">
        <f>G169*Listas!$I$7</f>
        <v>0</v>
      </c>
    </row>
    <row r="170" spans="2:8" x14ac:dyDescent="0.25">
      <c r="B170" s="70" t="s">
        <v>188</v>
      </c>
      <c r="C170" s="70"/>
      <c r="D170" s="70"/>
      <c r="E170" s="70"/>
      <c r="F170" s="70"/>
      <c r="G170" s="70"/>
      <c r="H170" s="129">
        <f>G170*Listas!$I$7</f>
        <v>0</v>
      </c>
    </row>
    <row r="171" spans="2:8" x14ac:dyDescent="0.25">
      <c r="B171" s="70" t="s">
        <v>188</v>
      </c>
      <c r="C171" s="70"/>
      <c r="D171" s="70"/>
      <c r="E171" s="70"/>
      <c r="F171" s="70"/>
      <c r="G171" s="70"/>
      <c r="H171" s="129">
        <f>G171*Listas!$I$7</f>
        <v>0</v>
      </c>
    </row>
    <row r="172" spans="2:8" x14ac:dyDescent="0.25">
      <c r="B172" s="70" t="s">
        <v>188</v>
      </c>
      <c r="C172" s="70"/>
      <c r="D172" s="70"/>
      <c r="E172" s="70"/>
      <c r="F172" s="70"/>
      <c r="G172" s="70"/>
      <c r="H172" s="129">
        <f>G172*Listas!$I$7</f>
        <v>0</v>
      </c>
    </row>
    <row r="173" spans="2:8" x14ac:dyDescent="0.25">
      <c r="B173" s="70" t="s">
        <v>188</v>
      </c>
      <c r="C173" s="70"/>
      <c r="D173" s="70"/>
      <c r="E173" s="70"/>
      <c r="F173" s="70"/>
      <c r="G173" s="70"/>
      <c r="H173" s="129">
        <f>G173*Listas!$I$7</f>
        <v>0</v>
      </c>
    </row>
    <row r="174" spans="2:8" x14ac:dyDescent="0.25">
      <c r="B174" s="70" t="s">
        <v>188</v>
      </c>
      <c r="C174" s="70"/>
      <c r="D174" s="70"/>
      <c r="E174" s="70"/>
      <c r="F174" s="70"/>
      <c r="G174" s="70"/>
      <c r="H174" s="129">
        <f>G174*Listas!$I$7</f>
        <v>0</v>
      </c>
    </row>
    <row r="175" spans="2:8" x14ac:dyDescent="0.25">
      <c r="B175" s="70" t="s">
        <v>188</v>
      </c>
      <c r="C175" s="70"/>
      <c r="D175" s="70"/>
      <c r="E175" s="70"/>
      <c r="F175" s="70"/>
      <c r="G175" s="70"/>
      <c r="H175" s="129">
        <f>G175*Listas!$I$7</f>
        <v>0</v>
      </c>
    </row>
    <row r="176" spans="2:8" x14ac:dyDescent="0.25">
      <c r="B176" s="70" t="s">
        <v>188</v>
      </c>
      <c r="C176" s="70"/>
      <c r="D176" s="70"/>
      <c r="E176" s="70"/>
      <c r="F176" s="70"/>
      <c r="G176" s="70"/>
      <c r="H176" s="129">
        <f>G176*Listas!$I$7</f>
        <v>0</v>
      </c>
    </row>
    <row r="177" spans="2:8" x14ac:dyDescent="0.25">
      <c r="B177" s="70" t="s">
        <v>188</v>
      </c>
      <c r="C177" s="70"/>
      <c r="D177" s="70"/>
      <c r="E177" s="70"/>
      <c r="F177" s="70"/>
      <c r="G177" s="70"/>
      <c r="H177" s="129">
        <f>G177*Listas!$I$7</f>
        <v>0</v>
      </c>
    </row>
    <row r="178" spans="2:8" x14ac:dyDescent="0.25">
      <c r="B178" s="70" t="s">
        <v>188</v>
      </c>
      <c r="C178" s="70"/>
      <c r="D178" s="70"/>
      <c r="E178" s="70"/>
      <c r="F178" s="70"/>
      <c r="G178" s="70"/>
      <c r="H178" s="129">
        <f>G178*Listas!$I$7</f>
        <v>0</v>
      </c>
    </row>
    <row r="179" spans="2:8" x14ac:dyDescent="0.25">
      <c r="B179" s="70" t="s">
        <v>188</v>
      </c>
      <c r="C179" s="70"/>
      <c r="D179" s="70"/>
      <c r="E179" s="70"/>
      <c r="F179" s="70"/>
      <c r="G179" s="70"/>
      <c r="H179" s="129">
        <f>G179*Listas!$I$7</f>
        <v>0</v>
      </c>
    </row>
    <row r="180" spans="2:8" x14ac:dyDescent="0.25">
      <c r="B180" s="70" t="s">
        <v>188</v>
      </c>
      <c r="C180" s="70"/>
      <c r="D180" s="70"/>
      <c r="E180" s="70"/>
      <c r="F180" s="70"/>
      <c r="G180" s="70"/>
      <c r="H180" s="129">
        <f>G180*Listas!$I$7</f>
        <v>0</v>
      </c>
    </row>
    <row r="181" spans="2:8" x14ac:dyDescent="0.25">
      <c r="B181" s="70" t="s">
        <v>188</v>
      </c>
      <c r="C181" s="70"/>
      <c r="D181" s="70"/>
      <c r="E181" s="70"/>
      <c r="F181" s="70"/>
      <c r="G181" s="70"/>
      <c r="H181" s="129">
        <f>G181*Listas!$I$7</f>
        <v>0</v>
      </c>
    </row>
    <row r="182" spans="2:8" x14ac:dyDescent="0.25">
      <c r="B182" s="70" t="s">
        <v>188</v>
      </c>
      <c r="C182" s="70"/>
      <c r="D182" s="70"/>
      <c r="E182" s="70"/>
      <c r="F182" s="70"/>
      <c r="G182" s="70"/>
      <c r="H182" s="129">
        <f>G182*Listas!$I$7</f>
        <v>0</v>
      </c>
    </row>
    <row r="183" spans="2:8" x14ac:dyDescent="0.25">
      <c r="B183" s="70" t="s">
        <v>188</v>
      </c>
      <c r="C183" s="70"/>
      <c r="D183" s="70"/>
      <c r="E183" s="70"/>
      <c r="F183" s="70"/>
      <c r="G183" s="70"/>
      <c r="H183" s="129">
        <f>G183*Listas!$I$7</f>
        <v>0</v>
      </c>
    </row>
    <row r="184" spans="2:8" x14ac:dyDescent="0.25">
      <c r="B184" s="70" t="s">
        <v>188</v>
      </c>
      <c r="C184" s="70"/>
      <c r="D184" s="70"/>
      <c r="E184" s="70"/>
      <c r="F184" s="70"/>
      <c r="G184" s="70"/>
      <c r="H184" s="129">
        <f>G184*Listas!$I$7</f>
        <v>0</v>
      </c>
    </row>
    <row r="185" spans="2:8" x14ac:dyDescent="0.25">
      <c r="B185" s="70" t="s">
        <v>188</v>
      </c>
      <c r="C185" s="70"/>
      <c r="D185" s="70"/>
      <c r="E185" s="70"/>
      <c r="F185" s="70"/>
      <c r="G185" s="70"/>
      <c r="H185" s="129">
        <f>G185*Listas!$I$7</f>
        <v>0</v>
      </c>
    </row>
    <row r="186" spans="2:8" x14ac:dyDescent="0.25">
      <c r="B186" s="70" t="s">
        <v>188</v>
      </c>
      <c r="C186" s="70"/>
      <c r="D186" s="70"/>
      <c r="E186" s="70"/>
      <c r="F186" s="70"/>
      <c r="G186" s="70"/>
      <c r="H186" s="129">
        <f>G186*Listas!$I$7</f>
        <v>0</v>
      </c>
    </row>
    <row r="187" spans="2:8" x14ac:dyDescent="0.25">
      <c r="B187" s="70" t="s">
        <v>188</v>
      </c>
      <c r="C187" s="70"/>
      <c r="D187" s="70"/>
      <c r="E187" s="70"/>
      <c r="F187" s="70"/>
      <c r="G187" s="70"/>
      <c r="H187" s="129">
        <f>G187*Listas!$I$7</f>
        <v>0</v>
      </c>
    </row>
    <row r="188" spans="2:8" x14ac:dyDescent="0.25">
      <c r="B188" s="70" t="s">
        <v>188</v>
      </c>
      <c r="C188" s="70"/>
      <c r="D188" s="70"/>
      <c r="E188" s="70"/>
      <c r="F188" s="70"/>
      <c r="G188" s="70"/>
      <c r="H188" s="129">
        <f>G188*Listas!$I$7</f>
        <v>0</v>
      </c>
    </row>
    <row r="189" spans="2:8" x14ac:dyDescent="0.25">
      <c r="B189" s="70" t="s">
        <v>188</v>
      </c>
      <c r="C189" s="70"/>
      <c r="D189" s="70"/>
      <c r="E189" s="70"/>
      <c r="F189" s="70"/>
      <c r="G189" s="70"/>
      <c r="H189" s="129">
        <f>G189*Listas!$I$7</f>
        <v>0</v>
      </c>
    </row>
    <row r="190" spans="2:8" x14ac:dyDescent="0.25">
      <c r="B190" s="70" t="s">
        <v>188</v>
      </c>
      <c r="C190" s="70"/>
      <c r="D190" s="70"/>
      <c r="E190" s="70"/>
      <c r="F190" s="70"/>
      <c r="G190" s="70"/>
      <c r="H190" s="129">
        <f>G190*Listas!$I$7</f>
        <v>0</v>
      </c>
    </row>
    <row r="191" spans="2:8" x14ac:dyDescent="0.25">
      <c r="B191" s="70" t="s">
        <v>188</v>
      </c>
      <c r="C191" s="70"/>
      <c r="D191" s="70"/>
      <c r="E191" s="70"/>
      <c r="F191" s="70"/>
      <c r="G191" s="70"/>
      <c r="H191" s="129">
        <f>G191*Listas!$I$7</f>
        <v>0</v>
      </c>
    </row>
    <row r="192" spans="2:8" x14ac:dyDescent="0.25">
      <c r="B192" s="70" t="s">
        <v>188</v>
      </c>
      <c r="C192" s="70"/>
      <c r="D192" s="70"/>
      <c r="E192" s="70"/>
      <c r="F192" s="70"/>
      <c r="G192" s="70"/>
      <c r="H192" s="129">
        <f>G192*Listas!$I$7</f>
        <v>0</v>
      </c>
    </row>
    <row r="193" spans="2:8" x14ac:dyDescent="0.25">
      <c r="B193" s="70" t="s">
        <v>188</v>
      </c>
      <c r="C193" s="70"/>
      <c r="D193" s="70"/>
      <c r="E193" s="70"/>
      <c r="F193" s="70"/>
      <c r="G193" s="70"/>
      <c r="H193" s="129">
        <f>G193*Listas!$I$7</f>
        <v>0</v>
      </c>
    </row>
    <row r="194" spans="2:8" x14ac:dyDescent="0.25">
      <c r="B194" s="70" t="s">
        <v>188</v>
      </c>
      <c r="C194" s="70"/>
      <c r="D194" s="70"/>
      <c r="E194" s="70"/>
      <c r="F194" s="70"/>
      <c r="G194" s="70"/>
      <c r="H194" s="129">
        <f>G194*Listas!$I$7</f>
        <v>0</v>
      </c>
    </row>
    <row r="195" spans="2:8" x14ac:dyDescent="0.25">
      <c r="B195" s="70" t="s">
        <v>188</v>
      </c>
      <c r="C195" s="70"/>
      <c r="D195" s="70"/>
      <c r="E195" s="70"/>
      <c r="F195" s="70"/>
      <c r="G195" s="70"/>
      <c r="H195" s="129">
        <f>G195*Listas!$I$7</f>
        <v>0</v>
      </c>
    </row>
    <row r="196" spans="2:8" x14ac:dyDescent="0.25">
      <c r="B196" s="70" t="s">
        <v>188</v>
      </c>
      <c r="C196" s="70"/>
      <c r="D196" s="70"/>
      <c r="E196" s="70"/>
      <c r="F196" s="70"/>
      <c r="G196" s="70"/>
      <c r="H196" s="129">
        <f>G196*Listas!$I$7</f>
        <v>0</v>
      </c>
    </row>
    <row r="197" spans="2:8" x14ac:dyDescent="0.25">
      <c r="B197" s="70" t="s">
        <v>188</v>
      </c>
      <c r="C197" s="70"/>
      <c r="D197" s="70"/>
      <c r="E197" s="70"/>
      <c r="F197" s="70"/>
      <c r="G197" s="70"/>
      <c r="H197" s="129">
        <f>G197*Listas!$I$7</f>
        <v>0</v>
      </c>
    </row>
    <row r="198" spans="2:8" x14ac:dyDescent="0.25">
      <c r="B198" s="70" t="s">
        <v>188</v>
      </c>
      <c r="C198" s="70"/>
      <c r="D198" s="70"/>
      <c r="E198" s="70"/>
      <c r="F198" s="70"/>
      <c r="G198" s="70"/>
      <c r="H198" s="129">
        <f>G198*Listas!$I$7</f>
        <v>0</v>
      </c>
    </row>
    <row r="199" spans="2:8" x14ac:dyDescent="0.25">
      <c r="B199" s="70" t="s">
        <v>188</v>
      </c>
      <c r="C199" s="70"/>
      <c r="D199" s="70"/>
      <c r="E199" s="70"/>
      <c r="F199" s="70"/>
      <c r="G199" s="70"/>
      <c r="H199" s="129">
        <f>G199*Listas!$I$7</f>
        <v>0</v>
      </c>
    </row>
    <row r="200" spans="2:8" x14ac:dyDescent="0.25">
      <c r="B200" s="70" t="s">
        <v>188</v>
      </c>
      <c r="C200" s="70"/>
      <c r="D200" s="70"/>
      <c r="E200" s="70"/>
      <c r="F200" s="70"/>
      <c r="G200" s="70"/>
      <c r="H200" s="129">
        <f>G200*Listas!$I$7</f>
        <v>0</v>
      </c>
    </row>
  </sheetData>
  <mergeCells count="2">
    <mergeCell ref="B2:I2"/>
    <mergeCell ref="K3:M3"/>
  </mergeCells>
  <conditionalFormatting sqref="L17">
    <cfRule type="cellIs" dxfId="5" priority="2" operator="greaterThan">
      <formula>0.05</formula>
    </cfRule>
  </conditionalFormatting>
  <conditionalFormatting sqref="M17">
    <cfRule type="cellIs" dxfId="4" priority="1" operator="equal">
      <formula>"Ajustar usos"</formula>
    </cfRule>
  </conditionalFormatting>
  <dataValidations count="1">
    <dataValidation type="list" allowBlank="1" showInputMessage="1" showErrorMessage="1" sqref="B5:B200">
      <formula1>OFFSET($K$4, 0, 0, COUNTA($K:$K) - 1)</formula1>
    </dataValidation>
  </dataValidations>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7"/>
  </sheetPr>
  <dimension ref="A1:M200"/>
  <sheetViews>
    <sheetView topLeftCell="C1" workbookViewId="0">
      <selection activeCell="L17" sqref="L17"/>
    </sheetView>
  </sheetViews>
  <sheetFormatPr baseColWidth="10" defaultRowHeight="15" x14ac:dyDescent="0.25"/>
  <cols>
    <col min="1" max="1" width="5.7109375" style="166" customWidth="1"/>
    <col min="2" max="3" width="27.28515625" style="166" customWidth="1"/>
    <col min="4" max="5" width="18.42578125" style="166" customWidth="1"/>
    <col min="6" max="6" width="10.140625" style="166" customWidth="1"/>
    <col min="7" max="7" width="13.140625" style="166" customWidth="1"/>
    <col min="8" max="8" width="15.140625" style="166" customWidth="1"/>
    <col min="9" max="9" width="17.28515625" style="166" customWidth="1"/>
    <col min="10" max="10" width="11.42578125" style="166"/>
    <col min="11" max="11" width="35.42578125" style="166" customWidth="1"/>
    <col min="12" max="12" width="11.42578125" style="166"/>
    <col min="13" max="13" width="17.5703125" style="166" customWidth="1"/>
    <col min="14" max="16384" width="11.42578125" style="166"/>
  </cols>
  <sheetData>
    <row r="1" spans="1:13" ht="15.75" thickBot="1" x14ac:dyDescent="0.3"/>
    <row r="2" spans="1:13" ht="27.75" customHeight="1" thickBot="1" x14ac:dyDescent="0.3">
      <c r="B2" s="422" t="s">
        <v>337</v>
      </c>
      <c r="C2" s="423"/>
      <c r="D2" s="423"/>
      <c r="E2" s="423"/>
      <c r="F2" s="423"/>
      <c r="G2" s="423"/>
      <c r="H2" s="423"/>
      <c r="I2" s="424"/>
    </row>
    <row r="3" spans="1:13" ht="15.75" x14ac:dyDescent="0.25">
      <c r="A3" s="6"/>
      <c r="B3" s="1"/>
      <c r="C3" s="1"/>
      <c r="D3" s="1"/>
      <c r="E3" s="1"/>
      <c r="F3" s="1"/>
      <c r="G3" s="1"/>
      <c r="H3" s="1"/>
      <c r="K3" s="415" t="s">
        <v>207</v>
      </c>
      <c r="L3" s="415"/>
      <c r="M3" s="415"/>
    </row>
    <row r="4" spans="1:13" ht="38.25" x14ac:dyDescent="0.25">
      <c r="B4" s="168" t="s">
        <v>179</v>
      </c>
      <c r="C4" s="168" t="s">
        <v>178</v>
      </c>
      <c r="D4" s="168" t="s">
        <v>247</v>
      </c>
      <c r="E4" s="168" t="s">
        <v>338</v>
      </c>
      <c r="F4" s="168" t="s">
        <v>197</v>
      </c>
      <c r="G4" s="168" t="s">
        <v>344</v>
      </c>
      <c r="H4" s="168" t="s">
        <v>66</v>
      </c>
      <c r="I4" s="119" t="s">
        <v>173</v>
      </c>
      <c r="K4" s="284" t="s">
        <v>188</v>
      </c>
      <c r="L4" s="284" t="s">
        <v>208</v>
      </c>
      <c r="M4" s="119" t="s">
        <v>209</v>
      </c>
    </row>
    <row r="5" spans="1:13" x14ac:dyDescent="0.25">
      <c r="B5" s="70" t="s">
        <v>516</v>
      </c>
      <c r="C5" s="70" t="s">
        <v>351</v>
      </c>
      <c r="D5" s="70"/>
      <c r="E5" s="70"/>
      <c r="F5" s="70">
        <v>1</v>
      </c>
      <c r="G5" s="70">
        <v>1000</v>
      </c>
      <c r="H5" s="129">
        <f>G5*Listas!$I$3</f>
        <v>7730</v>
      </c>
      <c r="K5" s="125" t="s">
        <v>189</v>
      </c>
      <c r="L5" s="126">
        <f>SUMIF(B:B,K5,H:H)</f>
        <v>0</v>
      </c>
      <c r="M5" s="127">
        <f>L5*'Gas Licuado '!$E$22</f>
        <v>0</v>
      </c>
    </row>
    <row r="6" spans="1:13" x14ac:dyDescent="0.25">
      <c r="B6" s="70" t="s">
        <v>534</v>
      </c>
      <c r="C6" s="70" t="s">
        <v>354</v>
      </c>
      <c r="D6" s="70"/>
      <c r="E6" s="70"/>
      <c r="F6" s="70">
        <v>1</v>
      </c>
      <c r="G6" s="70">
        <v>200</v>
      </c>
      <c r="H6" s="129">
        <f>G6*Listas!$I$3</f>
        <v>1546</v>
      </c>
      <c r="K6" s="125" t="s">
        <v>488</v>
      </c>
      <c r="L6" s="126">
        <f t="shared" ref="L6:L15" si="0">SUMIF(B:B,K6,H:H)</f>
        <v>0</v>
      </c>
      <c r="M6" s="127">
        <f>L6*'Gas Licuado '!$E$22</f>
        <v>0</v>
      </c>
    </row>
    <row r="7" spans="1:13" x14ac:dyDescent="0.25">
      <c r="B7" s="70" t="s">
        <v>594</v>
      </c>
      <c r="C7" s="70" t="s">
        <v>352</v>
      </c>
      <c r="D7" s="70"/>
      <c r="E7" s="70"/>
      <c r="F7" s="70">
        <v>2</v>
      </c>
      <c r="G7" s="70">
        <v>3000</v>
      </c>
      <c r="H7" s="129">
        <f>G7*Listas!$I$3</f>
        <v>23190</v>
      </c>
      <c r="K7" s="125" t="s">
        <v>509</v>
      </c>
      <c r="L7" s="126">
        <f t="shared" si="0"/>
        <v>115.95</v>
      </c>
      <c r="M7" s="127">
        <f>L7*'Gas Licuado '!$E$22</f>
        <v>10065</v>
      </c>
    </row>
    <row r="8" spans="1:13" x14ac:dyDescent="0.25">
      <c r="B8" s="70" t="s">
        <v>534</v>
      </c>
      <c r="C8" s="70" t="s">
        <v>355</v>
      </c>
      <c r="D8" s="70"/>
      <c r="E8" s="70"/>
      <c r="F8" s="70">
        <v>1</v>
      </c>
      <c r="G8" s="70">
        <v>250</v>
      </c>
      <c r="H8" s="129">
        <f>G8*Listas!$I$3</f>
        <v>1932.5</v>
      </c>
      <c r="K8" s="125" t="s">
        <v>516</v>
      </c>
      <c r="L8" s="126">
        <f t="shared" si="0"/>
        <v>7730</v>
      </c>
      <c r="M8" s="127">
        <f>L8*'Gas Licuado '!$E$22</f>
        <v>671000</v>
      </c>
    </row>
    <row r="9" spans="1:13" x14ac:dyDescent="0.25">
      <c r="B9" s="70" t="s">
        <v>509</v>
      </c>
      <c r="C9" s="70" t="s">
        <v>353</v>
      </c>
      <c r="D9" s="70"/>
      <c r="E9" s="70"/>
      <c r="F9" s="70">
        <v>1</v>
      </c>
      <c r="G9" s="70">
        <v>15</v>
      </c>
      <c r="H9" s="129">
        <f>G9*Listas!$I$3</f>
        <v>115.95</v>
      </c>
      <c r="K9" s="125" t="s">
        <v>631</v>
      </c>
      <c r="L9" s="126">
        <f t="shared" si="0"/>
        <v>0</v>
      </c>
      <c r="M9" s="127">
        <f>L9*'Gas Licuado '!$E$22</f>
        <v>0</v>
      </c>
    </row>
    <row r="10" spans="1:13" x14ac:dyDescent="0.25">
      <c r="B10" s="70" t="s">
        <v>188</v>
      </c>
      <c r="C10" s="70"/>
      <c r="D10" s="70"/>
      <c r="E10" s="70"/>
      <c r="F10" s="70"/>
      <c r="G10" s="70"/>
      <c r="H10" s="129">
        <f>G10*Listas!$I$3</f>
        <v>0</v>
      </c>
      <c r="K10" s="125" t="s">
        <v>534</v>
      </c>
      <c r="L10" s="126">
        <f t="shared" si="0"/>
        <v>3478.5</v>
      </c>
      <c r="M10" s="127">
        <f>L10*'Gas Licuado '!$E$22</f>
        <v>301950</v>
      </c>
    </row>
    <row r="11" spans="1:13" x14ac:dyDescent="0.25">
      <c r="B11" s="70" t="s">
        <v>188</v>
      </c>
      <c r="C11" s="70"/>
      <c r="D11" s="70"/>
      <c r="E11" s="70"/>
      <c r="F11" s="70"/>
      <c r="G11" s="70"/>
      <c r="H11" s="129">
        <f>G11*Listas!$I$3</f>
        <v>0</v>
      </c>
      <c r="K11" s="125" t="s">
        <v>547</v>
      </c>
      <c r="L11" s="126">
        <f t="shared" si="0"/>
        <v>0</v>
      </c>
      <c r="M11" s="127">
        <f>L11*'Gas Licuado '!$E$22</f>
        <v>0</v>
      </c>
    </row>
    <row r="12" spans="1:13" x14ac:dyDescent="0.25">
      <c r="B12" s="70" t="s">
        <v>188</v>
      </c>
      <c r="C12" s="70"/>
      <c r="D12" s="70"/>
      <c r="E12" s="70"/>
      <c r="F12" s="70"/>
      <c r="G12" s="70"/>
      <c r="H12" s="129">
        <f>G12*Listas!$I$3</f>
        <v>0</v>
      </c>
      <c r="K12" s="125" t="s">
        <v>563</v>
      </c>
      <c r="L12" s="126">
        <f t="shared" si="0"/>
        <v>0</v>
      </c>
      <c r="M12" s="127">
        <f>L12*'Gas Licuado '!$E$22</f>
        <v>0</v>
      </c>
    </row>
    <row r="13" spans="1:13" x14ac:dyDescent="0.25">
      <c r="B13" s="70" t="s">
        <v>188</v>
      </c>
      <c r="C13" s="70"/>
      <c r="D13" s="70"/>
      <c r="E13" s="70"/>
      <c r="F13" s="70"/>
      <c r="G13" s="70"/>
      <c r="H13" s="129">
        <f>G13*Listas!$I$3</f>
        <v>0</v>
      </c>
      <c r="K13" s="125" t="s">
        <v>575</v>
      </c>
      <c r="L13" s="126">
        <f t="shared" si="0"/>
        <v>0</v>
      </c>
      <c r="M13" s="127">
        <f>L13*'Gas Licuado '!$E$22</f>
        <v>0</v>
      </c>
    </row>
    <row r="14" spans="1:13" x14ac:dyDescent="0.25">
      <c r="B14" s="70" t="s">
        <v>188</v>
      </c>
      <c r="C14" s="70"/>
      <c r="D14" s="70"/>
      <c r="E14" s="70"/>
      <c r="F14" s="70"/>
      <c r="G14" s="70"/>
      <c r="H14" s="129">
        <f>G14*Listas!$I$3</f>
        <v>0</v>
      </c>
      <c r="K14" s="125" t="s">
        <v>594</v>
      </c>
      <c r="L14" s="126">
        <f t="shared" si="0"/>
        <v>23190</v>
      </c>
      <c r="M14" s="127">
        <f>L14*'Gas Licuado '!$E$22</f>
        <v>2013000</v>
      </c>
    </row>
    <row r="15" spans="1:13" x14ac:dyDescent="0.25">
      <c r="B15" s="70" t="s">
        <v>188</v>
      </c>
      <c r="C15" s="70"/>
      <c r="D15" s="70"/>
      <c r="E15" s="70"/>
      <c r="F15" s="70"/>
      <c r="G15" s="70"/>
      <c r="H15" s="129">
        <f>G15*Listas!$I$3</f>
        <v>0</v>
      </c>
      <c r="K15" s="125" t="s">
        <v>240</v>
      </c>
      <c r="L15" s="126">
        <f t="shared" si="0"/>
        <v>0</v>
      </c>
      <c r="M15" s="127">
        <f>L15*'Gas Licuado '!$E$22</f>
        <v>0</v>
      </c>
    </row>
    <row r="16" spans="1:13" x14ac:dyDescent="0.25">
      <c r="B16" s="70" t="s">
        <v>188</v>
      </c>
      <c r="C16" s="70"/>
      <c r="D16" s="70"/>
      <c r="E16" s="70"/>
      <c r="F16" s="70"/>
      <c r="G16" s="70"/>
      <c r="H16" s="129">
        <f>G16*Listas!$I$3</f>
        <v>0</v>
      </c>
    </row>
    <row r="17" spans="2:13" x14ac:dyDescent="0.25">
      <c r="B17" s="70" t="s">
        <v>188</v>
      </c>
      <c r="C17" s="70"/>
      <c r="D17" s="70"/>
      <c r="E17" s="70"/>
      <c r="F17" s="70"/>
      <c r="G17" s="70"/>
      <c r="H17" s="129">
        <f>G17*Listas!$I$3</f>
        <v>0</v>
      </c>
      <c r="K17" s="283" t="s">
        <v>392</v>
      </c>
      <c r="L17" s="317">
        <f>ABS(('Gas Licuado '!D21-SUM(L5:L15))/'Gas Licuado '!D21)</f>
        <v>7.7777777777778617E-3</v>
      </c>
      <c r="M17" s="174" t="str">
        <f>IF(L17&gt;5%,"Ajustar usos","")</f>
        <v/>
      </c>
    </row>
    <row r="18" spans="2:13" x14ac:dyDescent="0.25">
      <c r="B18" s="70" t="s">
        <v>188</v>
      </c>
      <c r="C18" s="70"/>
      <c r="D18" s="70"/>
      <c r="E18" s="70"/>
      <c r="F18" s="70"/>
      <c r="G18" s="70"/>
      <c r="H18" s="129">
        <f>G18*Listas!$I$3</f>
        <v>0</v>
      </c>
    </row>
    <row r="19" spans="2:13" x14ac:dyDescent="0.25">
      <c r="B19" s="70" t="s">
        <v>188</v>
      </c>
      <c r="C19" s="70"/>
      <c r="D19" s="70"/>
      <c r="E19" s="70"/>
      <c r="F19" s="70"/>
      <c r="G19" s="70"/>
      <c r="H19" s="129">
        <f>G19*Listas!$I$3</f>
        <v>0</v>
      </c>
    </row>
    <row r="20" spans="2:13" x14ac:dyDescent="0.25">
      <c r="B20" s="70" t="s">
        <v>188</v>
      </c>
      <c r="C20" s="70"/>
      <c r="D20" s="70"/>
      <c r="E20" s="70"/>
      <c r="F20" s="70"/>
      <c r="G20" s="70"/>
      <c r="H20" s="129">
        <f>G20*Listas!$I$3</f>
        <v>0</v>
      </c>
    </row>
    <row r="21" spans="2:13" x14ac:dyDescent="0.25">
      <c r="B21" s="70" t="s">
        <v>188</v>
      </c>
      <c r="C21" s="70"/>
      <c r="D21" s="70"/>
      <c r="E21" s="70"/>
      <c r="F21" s="70"/>
      <c r="G21" s="70"/>
      <c r="H21" s="129">
        <f>G21*Listas!$I$3</f>
        <v>0</v>
      </c>
    </row>
    <row r="22" spans="2:13" x14ac:dyDescent="0.25">
      <c r="B22" s="70" t="s">
        <v>188</v>
      </c>
      <c r="C22" s="70"/>
      <c r="D22" s="70"/>
      <c r="E22" s="70"/>
      <c r="F22" s="70"/>
      <c r="G22" s="70"/>
      <c r="H22" s="129">
        <f>G22*Listas!$I$3</f>
        <v>0</v>
      </c>
    </row>
    <row r="23" spans="2:13" x14ac:dyDescent="0.25">
      <c r="B23" s="70" t="s">
        <v>188</v>
      </c>
      <c r="C23" s="70"/>
      <c r="D23" s="70"/>
      <c r="E23" s="70"/>
      <c r="F23" s="70"/>
      <c r="G23" s="70"/>
      <c r="H23" s="129">
        <f>G23*Listas!$I$3</f>
        <v>0</v>
      </c>
    </row>
    <row r="24" spans="2:13" x14ac:dyDescent="0.25">
      <c r="B24" s="70" t="s">
        <v>188</v>
      </c>
      <c r="C24" s="70"/>
      <c r="D24" s="70"/>
      <c r="E24" s="70"/>
      <c r="F24" s="70"/>
      <c r="G24" s="70"/>
      <c r="H24" s="129">
        <f>G24*Listas!$I$3</f>
        <v>0</v>
      </c>
    </row>
    <row r="25" spans="2:13" x14ac:dyDescent="0.25">
      <c r="B25" s="70" t="s">
        <v>188</v>
      </c>
      <c r="C25" s="70"/>
      <c r="D25" s="70"/>
      <c r="E25" s="70"/>
      <c r="F25" s="70"/>
      <c r="G25" s="70"/>
      <c r="H25" s="129">
        <f>G25*Listas!$I$3</f>
        <v>0</v>
      </c>
    </row>
    <row r="26" spans="2:13" x14ac:dyDescent="0.25">
      <c r="B26" s="70" t="s">
        <v>188</v>
      </c>
      <c r="C26" s="70"/>
      <c r="D26" s="70"/>
      <c r="E26" s="70"/>
      <c r="F26" s="70"/>
      <c r="G26" s="70"/>
      <c r="H26" s="129">
        <f>G26*Listas!$I$3</f>
        <v>0</v>
      </c>
    </row>
    <row r="27" spans="2:13" x14ac:dyDescent="0.25">
      <c r="B27" s="70" t="s">
        <v>188</v>
      </c>
      <c r="C27" s="70"/>
      <c r="D27" s="70"/>
      <c r="E27" s="70"/>
      <c r="F27" s="70"/>
      <c r="G27" s="70"/>
      <c r="H27" s="129">
        <f>G27*Listas!$I$3</f>
        <v>0</v>
      </c>
    </row>
    <row r="28" spans="2:13" x14ac:dyDescent="0.25">
      <c r="B28" s="70" t="s">
        <v>188</v>
      </c>
      <c r="C28" s="70"/>
      <c r="D28" s="70"/>
      <c r="E28" s="70"/>
      <c r="F28" s="70"/>
      <c r="G28" s="70"/>
      <c r="H28" s="129">
        <f>G28*Listas!$I$3</f>
        <v>0</v>
      </c>
    </row>
    <row r="29" spans="2:13" x14ac:dyDescent="0.25">
      <c r="B29" s="70" t="s">
        <v>188</v>
      </c>
      <c r="C29" s="70"/>
      <c r="D29" s="70"/>
      <c r="E29" s="70"/>
      <c r="F29" s="70"/>
      <c r="G29" s="70"/>
      <c r="H29" s="129">
        <f>G29*Listas!$I$3</f>
        <v>0</v>
      </c>
    </row>
    <row r="30" spans="2:13" x14ac:dyDescent="0.25">
      <c r="B30" s="70" t="s">
        <v>188</v>
      </c>
      <c r="C30" s="70"/>
      <c r="D30" s="70"/>
      <c r="E30" s="70"/>
      <c r="F30" s="70"/>
      <c r="G30" s="70"/>
      <c r="H30" s="129">
        <f>G30*Listas!$I$3</f>
        <v>0</v>
      </c>
    </row>
    <row r="31" spans="2:13" x14ac:dyDescent="0.25">
      <c r="B31" s="70" t="s">
        <v>188</v>
      </c>
      <c r="C31" s="70"/>
      <c r="D31" s="70"/>
      <c r="E31" s="70"/>
      <c r="F31" s="70"/>
      <c r="G31" s="70"/>
      <c r="H31" s="129">
        <f>G31*Listas!$I$3</f>
        <v>0</v>
      </c>
    </row>
    <row r="32" spans="2:13" x14ac:dyDescent="0.25">
      <c r="B32" s="70" t="s">
        <v>188</v>
      </c>
      <c r="C32" s="70"/>
      <c r="D32" s="70"/>
      <c r="E32" s="70"/>
      <c r="F32" s="70"/>
      <c r="G32" s="70"/>
      <c r="H32" s="129">
        <f>G32*Listas!$I$3</f>
        <v>0</v>
      </c>
    </row>
    <row r="33" spans="2:8" x14ac:dyDescent="0.25">
      <c r="B33" s="70" t="s">
        <v>188</v>
      </c>
      <c r="C33" s="70"/>
      <c r="D33" s="70"/>
      <c r="E33" s="70"/>
      <c r="F33" s="70"/>
      <c r="G33" s="70"/>
      <c r="H33" s="129">
        <f>G33*Listas!$I$3</f>
        <v>0</v>
      </c>
    </row>
    <row r="34" spans="2:8" x14ac:dyDescent="0.25">
      <c r="B34" s="70" t="s">
        <v>188</v>
      </c>
      <c r="C34" s="70"/>
      <c r="D34" s="70"/>
      <c r="E34" s="70"/>
      <c r="F34" s="70"/>
      <c r="G34" s="70"/>
      <c r="H34" s="129">
        <f>G34*Listas!$I$3</f>
        <v>0</v>
      </c>
    </row>
    <row r="35" spans="2:8" x14ac:dyDescent="0.25">
      <c r="B35" s="70" t="s">
        <v>188</v>
      </c>
      <c r="C35" s="70"/>
      <c r="D35" s="70"/>
      <c r="E35" s="70"/>
      <c r="F35" s="70"/>
      <c r="G35" s="70"/>
      <c r="H35" s="129">
        <f>G35*Listas!$I$3</f>
        <v>0</v>
      </c>
    </row>
    <row r="36" spans="2:8" x14ac:dyDescent="0.25">
      <c r="B36" s="70" t="s">
        <v>188</v>
      </c>
      <c r="C36" s="70"/>
      <c r="D36" s="70"/>
      <c r="E36" s="70"/>
      <c r="F36" s="70"/>
      <c r="G36" s="70"/>
      <c r="H36" s="129">
        <f>G36*Listas!$I$3</f>
        <v>0</v>
      </c>
    </row>
    <row r="37" spans="2:8" x14ac:dyDescent="0.25">
      <c r="B37" s="70" t="s">
        <v>188</v>
      </c>
      <c r="C37" s="70"/>
      <c r="D37" s="70"/>
      <c r="E37" s="70"/>
      <c r="F37" s="70"/>
      <c r="G37" s="70"/>
      <c r="H37" s="129">
        <f>G37*Listas!$I$3</f>
        <v>0</v>
      </c>
    </row>
    <row r="38" spans="2:8" x14ac:dyDescent="0.25">
      <c r="B38" s="70" t="s">
        <v>188</v>
      </c>
      <c r="C38" s="70"/>
      <c r="D38" s="70"/>
      <c r="E38" s="70"/>
      <c r="F38" s="70"/>
      <c r="G38" s="70"/>
      <c r="H38" s="129">
        <f>G38*Listas!$I$3</f>
        <v>0</v>
      </c>
    </row>
    <row r="39" spans="2:8" x14ac:dyDescent="0.25">
      <c r="B39" s="70" t="s">
        <v>188</v>
      </c>
      <c r="C39" s="70"/>
      <c r="D39" s="70"/>
      <c r="E39" s="70"/>
      <c r="F39" s="70"/>
      <c r="G39" s="70"/>
      <c r="H39" s="129">
        <f>G39*Listas!$I$3</f>
        <v>0</v>
      </c>
    </row>
    <row r="40" spans="2:8" x14ac:dyDescent="0.25">
      <c r="B40" s="70" t="s">
        <v>188</v>
      </c>
      <c r="C40" s="70"/>
      <c r="D40" s="70"/>
      <c r="E40" s="70"/>
      <c r="F40" s="70"/>
      <c r="G40" s="70"/>
      <c r="H40" s="129">
        <f>G40*Listas!$I$3</f>
        <v>0</v>
      </c>
    </row>
    <row r="41" spans="2:8" x14ac:dyDescent="0.25">
      <c r="B41" s="70" t="s">
        <v>188</v>
      </c>
      <c r="C41" s="70"/>
      <c r="D41" s="70"/>
      <c r="E41" s="70"/>
      <c r="F41" s="70"/>
      <c r="G41" s="70"/>
      <c r="H41" s="129">
        <f>G41*Listas!$I$3</f>
        <v>0</v>
      </c>
    </row>
    <row r="42" spans="2:8" x14ac:dyDescent="0.25">
      <c r="B42" s="70" t="s">
        <v>188</v>
      </c>
      <c r="C42" s="70"/>
      <c r="D42" s="70"/>
      <c r="E42" s="70"/>
      <c r="F42" s="70"/>
      <c r="G42" s="70"/>
      <c r="H42" s="129">
        <f>G42*Listas!$I$3</f>
        <v>0</v>
      </c>
    </row>
    <row r="43" spans="2:8" x14ac:dyDescent="0.25">
      <c r="B43" s="70" t="s">
        <v>188</v>
      </c>
      <c r="C43" s="70"/>
      <c r="D43" s="70"/>
      <c r="E43" s="70"/>
      <c r="F43" s="70"/>
      <c r="G43" s="70"/>
      <c r="H43" s="129">
        <f>G43*Listas!$I$3</f>
        <v>0</v>
      </c>
    </row>
    <row r="44" spans="2:8" x14ac:dyDescent="0.25">
      <c r="B44" s="70" t="s">
        <v>188</v>
      </c>
      <c r="C44" s="70"/>
      <c r="D44" s="70"/>
      <c r="E44" s="70"/>
      <c r="F44" s="70"/>
      <c r="G44" s="70"/>
      <c r="H44" s="129">
        <f>G44*Listas!$I$3</f>
        <v>0</v>
      </c>
    </row>
    <row r="45" spans="2:8" x14ac:dyDescent="0.25">
      <c r="B45" s="70" t="s">
        <v>188</v>
      </c>
      <c r="C45" s="70"/>
      <c r="D45" s="70"/>
      <c r="E45" s="70"/>
      <c r="F45" s="70"/>
      <c r="G45" s="70"/>
      <c r="H45" s="129">
        <f>G45*Listas!$I$3</f>
        <v>0</v>
      </c>
    </row>
    <row r="46" spans="2:8" x14ac:dyDescent="0.25">
      <c r="B46" s="70" t="s">
        <v>188</v>
      </c>
      <c r="C46" s="70"/>
      <c r="D46" s="70"/>
      <c r="E46" s="70"/>
      <c r="F46" s="70"/>
      <c r="G46" s="70"/>
      <c r="H46" s="129">
        <f>G46*Listas!$I$3</f>
        <v>0</v>
      </c>
    </row>
    <row r="47" spans="2:8" x14ac:dyDescent="0.25">
      <c r="B47" s="70" t="s">
        <v>188</v>
      </c>
      <c r="C47" s="70"/>
      <c r="D47" s="70"/>
      <c r="E47" s="70"/>
      <c r="F47" s="70"/>
      <c r="G47" s="70"/>
      <c r="H47" s="129">
        <f>G47*Listas!$I$3</f>
        <v>0</v>
      </c>
    </row>
    <row r="48" spans="2:8" x14ac:dyDescent="0.25">
      <c r="B48" s="70" t="s">
        <v>188</v>
      </c>
      <c r="C48" s="70"/>
      <c r="D48" s="70"/>
      <c r="E48" s="70"/>
      <c r="F48" s="70"/>
      <c r="G48" s="70"/>
      <c r="H48" s="129">
        <f>G48*Listas!$I$3</f>
        <v>0</v>
      </c>
    </row>
    <row r="49" spans="2:8" x14ac:dyDescent="0.25">
      <c r="B49" s="70" t="s">
        <v>188</v>
      </c>
      <c r="C49" s="70"/>
      <c r="D49" s="70"/>
      <c r="E49" s="70"/>
      <c r="F49" s="70"/>
      <c r="G49" s="70"/>
      <c r="H49" s="129">
        <f>G49*Listas!$I$3</f>
        <v>0</v>
      </c>
    </row>
    <row r="50" spans="2:8" x14ac:dyDescent="0.25">
      <c r="B50" s="70" t="s">
        <v>188</v>
      </c>
      <c r="C50" s="70"/>
      <c r="D50" s="70"/>
      <c r="E50" s="70"/>
      <c r="F50" s="70"/>
      <c r="G50" s="70"/>
      <c r="H50" s="129">
        <f>G50*Listas!$I$3</f>
        <v>0</v>
      </c>
    </row>
    <row r="51" spans="2:8" x14ac:dyDescent="0.25">
      <c r="B51" s="70" t="s">
        <v>188</v>
      </c>
      <c r="C51" s="70"/>
      <c r="D51" s="70"/>
      <c r="E51" s="70"/>
      <c r="F51" s="70"/>
      <c r="G51" s="70"/>
      <c r="H51" s="129">
        <f>G51*Listas!$I$3</f>
        <v>0</v>
      </c>
    </row>
    <row r="52" spans="2:8" x14ac:dyDescent="0.25">
      <c r="B52" s="70" t="s">
        <v>188</v>
      </c>
      <c r="C52" s="70"/>
      <c r="D52" s="70"/>
      <c r="E52" s="70"/>
      <c r="F52" s="70"/>
      <c r="G52" s="70"/>
      <c r="H52" s="129">
        <f>G52*Listas!$I$3</f>
        <v>0</v>
      </c>
    </row>
    <row r="53" spans="2:8" x14ac:dyDescent="0.25">
      <c r="B53" s="70" t="s">
        <v>188</v>
      </c>
      <c r="C53" s="70"/>
      <c r="D53" s="70"/>
      <c r="E53" s="70"/>
      <c r="F53" s="70"/>
      <c r="G53" s="70"/>
      <c r="H53" s="129">
        <f>G53*Listas!$I$3</f>
        <v>0</v>
      </c>
    </row>
    <row r="54" spans="2:8" x14ac:dyDescent="0.25">
      <c r="B54" s="70" t="s">
        <v>188</v>
      </c>
      <c r="C54" s="70"/>
      <c r="D54" s="70"/>
      <c r="E54" s="70"/>
      <c r="F54" s="70"/>
      <c r="G54" s="70"/>
      <c r="H54" s="129">
        <f>G54*Listas!$I$3</f>
        <v>0</v>
      </c>
    </row>
    <row r="55" spans="2:8" x14ac:dyDescent="0.25">
      <c r="B55" s="70" t="s">
        <v>188</v>
      </c>
      <c r="C55" s="70"/>
      <c r="D55" s="70"/>
      <c r="E55" s="70"/>
      <c r="F55" s="70"/>
      <c r="G55" s="70"/>
      <c r="H55" s="129">
        <f>G55*Listas!$I$3</f>
        <v>0</v>
      </c>
    </row>
    <row r="56" spans="2:8" x14ac:dyDescent="0.25">
      <c r="B56" s="70" t="s">
        <v>188</v>
      </c>
      <c r="C56" s="70"/>
      <c r="D56" s="70"/>
      <c r="E56" s="70"/>
      <c r="F56" s="70"/>
      <c r="G56" s="70"/>
      <c r="H56" s="129">
        <f>G56*Listas!$I$3</f>
        <v>0</v>
      </c>
    </row>
    <row r="57" spans="2:8" x14ac:dyDescent="0.25">
      <c r="B57" s="70" t="s">
        <v>188</v>
      </c>
      <c r="C57" s="70"/>
      <c r="D57" s="70"/>
      <c r="E57" s="70"/>
      <c r="F57" s="70"/>
      <c r="G57" s="70"/>
      <c r="H57" s="129">
        <f>G57*Listas!$I$3</f>
        <v>0</v>
      </c>
    </row>
    <row r="58" spans="2:8" x14ac:dyDescent="0.25">
      <c r="B58" s="70" t="s">
        <v>188</v>
      </c>
      <c r="C58" s="70"/>
      <c r="D58" s="70"/>
      <c r="E58" s="70"/>
      <c r="F58" s="70"/>
      <c r="G58" s="70"/>
      <c r="H58" s="129">
        <f>G58*Listas!$I$3</f>
        <v>0</v>
      </c>
    </row>
    <row r="59" spans="2:8" x14ac:dyDescent="0.25">
      <c r="B59" s="70" t="s">
        <v>188</v>
      </c>
      <c r="C59" s="70"/>
      <c r="D59" s="70"/>
      <c r="E59" s="70"/>
      <c r="F59" s="70"/>
      <c r="G59" s="70"/>
      <c r="H59" s="129">
        <f>G59*Listas!$I$3</f>
        <v>0</v>
      </c>
    </row>
    <row r="60" spans="2:8" x14ac:dyDescent="0.25">
      <c r="B60" s="70" t="s">
        <v>188</v>
      </c>
      <c r="C60" s="70"/>
      <c r="D60" s="70"/>
      <c r="E60" s="70"/>
      <c r="F60" s="70"/>
      <c r="G60" s="70"/>
      <c r="H60" s="129">
        <f>G60*Listas!$I$3</f>
        <v>0</v>
      </c>
    </row>
    <row r="61" spans="2:8" x14ac:dyDescent="0.25">
      <c r="B61" s="70" t="s">
        <v>188</v>
      </c>
      <c r="C61" s="70"/>
      <c r="D61" s="70"/>
      <c r="E61" s="70"/>
      <c r="F61" s="70"/>
      <c r="G61" s="70"/>
      <c r="H61" s="129">
        <f>G61*Listas!$I$3</f>
        <v>0</v>
      </c>
    </row>
    <row r="62" spans="2:8" x14ac:dyDescent="0.25">
      <c r="B62" s="70" t="s">
        <v>188</v>
      </c>
      <c r="C62" s="70"/>
      <c r="D62" s="70"/>
      <c r="E62" s="70"/>
      <c r="F62" s="70"/>
      <c r="G62" s="70"/>
      <c r="H62" s="129">
        <f>G62*Listas!$I$3</f>
        <v>0</v>
      </c>
    </row>
    <row r="63" spans="2:8" x14ac:dyDescent="0.25">
      <c r="B63" s="70" t="s">
        <v>188</v>
      </c>
      <c r="C63" s="70"/>
      <c r="D63" s="70"/>
      <c r="E63" s="70"/>
      <c r="F63" s="70"/>
      <c r="G63" s="70"/>
      <c r="H63" s="129">
        <f>G63*Listas!$I$3</f>
        <v>0</v>
      </c>
    </row>
    <row r="64" spans="2:8" x14ac:dyDescent="0.25">
      <c r="B64" s="70" t="s">
        <v>188</v>
      </c>
      <c r="C64" s="70"/>
      <c r="D64" s="70"/>
      <c r="E64" s="70"/>
      <c r="F64" s="70"/>
      <c r="G64" s="70"/>
      <c r="H64" s="129">
        <f>G64*Listas!$I$3</f>
        <v>0</v>
      </c>
    </row>
    <row r="65" spans="2:8" x14ac:dyDescent="0.25">
      <c r="B65" s="70" t="s">
        <v>188</v>
      </c>
      <c r="C65" s="70"/>
      <c r="D65" s="70"/>
      <c r="E65" s="70"/>
      <c r="F65" s="70"/>
      <c r="G65" s="70"/>
      <c r="H65" s="129">
        <f>G65*Listas!$I$3</f>
        <v>0</v>
      </c>
    </row>
    <row r="66" spans="2:8" x14ac:dyDescent="0.25">
      <c r="B66" s="70" t="s">
        <v>188</v>
      </c>
      <c r="C66" s="70"/>
      <c r="D66" s="70"/>
      <c r="E66" s="70"/>
      <c r="F66" s="70"/>
      <c r="G66" s="70"/>
      <c r="H66" s="129">
        <f>G66*Listas!$I$3</f>
        <v>0</v>
      </c>
    </row>
    <row r="67" spans="2:8" x14ac:dyDescent="0.25">
      <c r="B67" s="70" t="s">
        <v>188</v>
      </c>
      <c r="C67" s="70"/>
      <c r="D67" s="70"/>
      <c r="E67" s="70"/>
      <c r="F67" s="70"/>
      <c r="G67" s="70"/>
      <c r="H67" s="129">
        <f>G67*Listas!$I$3</f>
        <v>0</v>
      </c>
    </row>
    <row r="68" spans="2:8" x14ac:dyDescent="0.25">
      <c r="B68" s="70" t="s">
        <v>188</v>
      </c>
      <c r="C68" s="70"/>
      <c r="D68" s="70"/>
      <c r="E68" s="70"/>
      <c r="F68" s="70"/>
      <c r="G68" s="70"/>
      <c r="H68" s="129">
        <f>G68*Listas!$I$3</f>
        <v>0</v>
      </c>
    </row>
    <row r="69" spans="2:8" x14ac:dyDescent="0.25">
      <c r="B69" s="70" t="s">
        <v>188</v>
      </c>
      <c r="C69" s="70"/>
      <c r="D69" s="70"/>
      <c r="E69" s="70"/>
      <c r="F69" s="70"/>
      <c r="G69" s="70"/>
      <c r="H69" s="129">
        <f>G69*Listas!$I$3</f>
        <v>0</v>
      </c>
    </row>
    <row r="70" spans="2:8" x14ac:dyDescent="0.25">
      <c r="B70" s="70" t="s">
        <v>188</v>
      </c>
      <c r="C70" s="70"/>
      <c r="D70" s="70"/>
      <c r="E70" s="70"/>
      <c r="F70" s="70"/>
      <c r="G70" s="70"/>
      <c r="H70" s="129">
        <f>G70*Listas!$I$3</f>
        <v>0</v>
      </c>
    </row>
    <row r="71" spans="2:8" x14ac:dyDescent="0.25">
      <c r="B71" s="70" t="s">
        <v>188</v>
      </c>
      <c r="C71" s="70"/>
      <c r="D71" s="70"/>
      <c r="E71" s="70"/>
      <c r="F71" s="70"/>
      <c r="G71" s="70"/>
      <c r="H71" s="129">
        <f>G71*Listas!$I$3</f>
        <v>0</v>
      </c>
    </row>
    <row r="72" spans="2:8" x14ac:dyDescent="0.25">
      <c r="B72" s="70" t="s">
        <v>188</v>
      </c>
      <c r="C72" s="70"/>
      <c r="D72" s="70"/>
      <c r="E72" s="70"/>
      <c r="F72" s="70"/>
      <c r="G72" s="70"/>
      <c r="H72" s="129">
        <f>G72*Listas!$I$3</f>
        <v>0</v>
      </c>
    </row>
    <row r="73" spans="2:8" x14ac:dyDescent="0.25">
      <c r="B73" s="70" t="s">
        <v>188</v>
      </c>
      <c r="C73" s="70"/>
      <c r="D73" s="70"/>
      <c r="E73" s="70"/>
      <c r="F73" s="70"/>
      <c r="G73" s="70"/>
      <c r="H73" s="129">
        <f>G73*Listas!$I$3</f>
        <v>0</v>
      </c>
    </row>
    <row r="74" spans="2:8" x14ac:dyDescent="0.25">
      <c r="B74" s="70" t="s">
        <v>188</v>
      </c>
      <c r="C74" s="70"/>
      <c r="D74" s="70"/>
      <c r="E74" s="70"/>
      <c r="F74" s="70"/>
      <c r="G74" s="70"/>
      <c r="H74" s="129">
        <f>G74*Listas!$I$3</f>
        <v>0</v>
      </c>
    </row>
    <row r="75" spans="2:8" x14ac:dyDescent="0.25">
      <c r="B75" s="70" t="s">
        <v>188</v>
      </c>
      <c r="C75" s="70"/>
      <c r="D75" s="70"/>
      <c r="E75" s="70"/>
      <c r="F75" s="70"/>
      <c r="G75" s="70"/>
      <c r="H75" s="129">
        <f>G75*Listas!$I$3</f>
        <v>0</v>
      </c>
    </row>
    <row r="76" spans="2:8" x14ac:dyDescent="0.25">
      <c r="B76" s="70" t="s">
        <v>188</v>
      </c>
      <c r="C76" s="70"/>
      <c r="D76" s="70"/>
      <c r="E76" s="70"/>
      <c r="F76" s="70"/>
      <c r="G76" s="70"/>
      <c r="H76" s="129">
        <f>G76*Listas!$I$3</f>
        <v>0</v>
      </c>
    </row>
    <row r="77" spans="2:8" x14ac:dyDescent="0.25">
      <c r="B77" s="70" t="s">
        <v>188</v>
      </c>
      <c r="C77" s="70"/>
      <c r="D77" s="70"/>
      <c r="E77" s="70"/>
      <c r="F77" s="70"/>
      <c r="G77" s="70"/>
      <c r="H77" s="129">
        <f>G77*Listas!$I$3</f>
        <v>0</v>
      </c>
    </row>
    <row r="78" spans="2:8" x14ac:dyDescent="0.25">
      <c r="B78" s="70" t="s">
        <v>188</v>
      </c>
      <c r="C78" s="70"/>
      <c r="D78" s="70"/>
      <c r="E78" s="70"/>
      <c r="F78" s="70"/>
      <c r="G78" s="70"/>
      <c r="H78" s="129">
        <f>G78*Listas!$I$3</f>
        <v>0</v>
      </c>
    </row>
    <row r="79" spans="2:8" x14ac:dyDescent="0.25">
      <c r="B79" s="70" t="s">
        <v>188</v>
      </c>
      <c r="C79" s="70"/>
      <c r="D79" s="70"/>
      <c r="E79" s="70"/>
      <c r="F79" s="70"/>
      <c r="G79" s="70"/>
      <c r="H79" s="129">
        <f>G79*Listas!$I$3</f>
        <v>0</v>
      </c>
    </row>
    <row r="80" spans="2:8" x14ac:dyDescent="0.25">
      <c r="B80" s="70" t="s">
        <v>188</v>
      </c>
      <c r="C80" s="70"/>
      <c r="D80" s="70"/>
      <c r="E80" s="70"/>
      <c r="F80" s="70"/>
      <c r="G80" s="70"/>
      <c r="H80" s="129">
        <f>G80*Listas!$I$3</f>
        <v>0</v>
      </c>
    </row>
    <row r="81" spans="2:8" x14ac:dyDescent="0.25">
      <c r="B81" s="70" t="s">
        <v>188</v>
      </c>
      <c r="C81" s="70"/>
      <c r="D81" s="70"/>
      <c r="E81" s="70"/>
      <c r="F81" s="70"/>
      <c r="G81" s="70"/>
      <c r="H81" s="129">
        <f>G81*Listas!$I$3</f>
        <v>0</v>
      </c>
    </row>
    <row r="82" spans="2:8" x14ac:dyDescent="0.25">
      <c r="B82" s="70" t="s">
        <v>188</v>
      </c>
      <c r="C82" s="70"/>
      <c r="D82" s="70"/>
      <c r="E82" s="70"/>
      <c r="F82" s="70"/>
      <c r="G82" s="70"/>
      <c r="H82" s="129">
        <f>G82*Listas!$I$3</f>
        <v>0</v>
      </c>
    </row>
    <row r="83" spans="2:8" x14ac:dyDescent="0.25">
      <c r="B83" s="70" t="s">
        <v>188</v>
      </c>
      <c r="C83" s="70"/>
      <c r="D83" s="70"/>
      <c r="E83" s="70"/>
      <c r="F83" s="70"/>
      <c r="G83" s="70"/>
      <c r="H83" s="129">
        <f>G83*Listas!$I$3</f>
        <v>0</v>
      </c>
    </row>
    <row r="84" spans="2:8" x14ac:dyDescent="0.25">
      <c r="B84" s="70" t="s">
        <v>188</v>
      </c>
      <c r="C84" s="70"/>
      <c r="D84" s="70"/>
      <c r="E84" s="70"/>
      <c r="F84" s="70"/>
      <c r="G84" s="70"/>
      <c r="H84" s="129">
        <f>G84*Listas!$I$3</f>
        <v>0</v>
      </c>
    </row>
    <row r="85" spans="2:8" x14ac:dyDescent="0.25">
      <c r="B85" s="70" t="s">
        <v>188</v>
      </c>
      <c r="C85" s="70"/>
      <c r="D85" s="70"/>
      <c r="E85" s="70"/>
      <c r="F85" s="70"/>
      <c r="G85" s="70"/>
      <c r="H85" s="129">
        <f>G85*Listas!$I$3</f>
        <v>0</v>
      </c>
    </row>
    <row r="86" spans="2:8" x14ac:dyDescent="0.25">
      <c r="B86" s="70" t="s">
        <v>188</v>
      </c>
      <c r="C86" s="70"/>
      <c r="D86" s="70"/>
      <c r="E86" s="70"/>
      <c r="F86" s="70"/>
      <c r="G86" s="70"/>
      <c r="H86" s="129">
        <f>G86*Listas!$I$3</f>
        <v>0</v>
      </c>
    </row>
    <row r="87" spans="2:8" x14ac:dyDescent="0.25">
      <c r="B87" s="70" t="s">
        <v>188</v>
      </c>
      <c r="C87" s="70"/>
      <c r="D87" s="70"/>
      <c r="E87" s="70"/>
      <c r="F87" s="70"/>
      <c r="G87" s="70"/>
      <c r="H87" s="129">
        <f>G87*Listas!$I$3</f>
        <v>0</v>
      </c>
    </row>
    <row r="88" spans="2:8" x14ac:dyDescent="0.25">
      <c r="B88" s="70" t="s">
        <v>188</v>
      </c>
      <c r="C88" s="70"/>
      <c r="D88" s="70"/>
      <c r="E88" s="70"/>
      <c r="F88" s="70"/>
      <c r="G88" s="70"/>
      <c r="H88" s="129">
        <f>G88*Listas!$I$3</f>
        <v>0</v>
      </c>
    </row>
    <row r="89" spans="2:8" x14ac:dyDescent="0.25">
      <c r="B89" s="70" t="s">
        <v>188</v>
      </c>
      <c r="C89" s="70"/>
      <c r="D89" s="70"/>
      <c r="E89" s="70"/>
      <c r="F89" s="70"/>
      <c r="G89" s="70"/>
      <c r="H89" s="129">
        <f>G89*Listas!$I$3</f>
        <v>0</v>
      </c>
    </row>
    <row r="90" spans="2:8" x14ac:dyDescent="0.25">
      <c r="B90" s="70" t="s">
        <v>188</v>
      </c>
      <c r="C90" s="70"/>
      <c r="D90" s="70"/>
      <c r="E90" s="70"/>
      <c r="F90" s="70"/>
      <c r="G90" s="70"/>
      <c r="H90" s="129">
        <f>G90*Listas!$I$3</f>
        <v>0</v>
      </c>
    </row>
    <row r="91" spans="2:8" x14ac:dyDescent="0.25">
      <c r="B91" s="70" t="s">
        <v>188</v>
      </c>
      <c r="C91" s="70"/>
      <c r="D91" s="70"/>
      <c r="E91" s="70"/>
      <c r="F91" s="70"/>
      <c r="G91" s="70"/>
      <c r="H91" s="129">
        <f>G91*Listas!$I$3</f>
        <v>0</v>
      </c>
    </row>
    <row r="92" spans="2:8" x14ac:dyDescent="0.25">
      <c r="B92" s="70" t="s">
        <v>188</v>
      </c>
      <c r="C92" s="70"/>
      <c r="D92" s="70"/>
      <c r="E92" s="70"/>
      <c r="F92" s="70"/>
      <c r="G92" s="70"/>
      <c r="H92" s="129">
        <f>G92*Listas!$I$3</f>
        <v>0</v>
      </c>
    </row>
    <row r="93" spans="2:8" x14ac:dyDescent="0.25">
      <c r="B93" s="70" t="s">
        <v>188</v>
      </c>
      <c r="C93" s="70"/>
      <c r="D93" s="70"/>
      <c r="E93" s="70"/>
      <c r="F93" s="70"/>
      <c r="G93" s="70"/>
      <c r="H93" s="129">
        <f>G93*Listas!$I$3</f>
        <v>0</v>
      </c>
    </row>
    <row r="94" spans="2:8" x14ac:dyDescent="0.25">
      <c r="B94" s="70" t="s">
        <v>188</v>
      </c>
      <c r="C94" s="70"/>
      <c r="D94" s="70"/>
      <c r="E94" s="70"/>
      <c r="F94" s="70"/>
      <c r="G94" s="70"/>
      <c r="H94" s="129">
        <f>G94*Listas!$I$3</f>
        <v>0</v>
      </c>
    </row>
    <row r="95" spans="2:8" x14ac:dyDescent="0.25">
      <c r="B95" s="70" t="s">
        <v>188</v>
      </c>
      <c r="C95" s="70"/>
      <c r="D95" s="70"/>
      <c r="E95" s="70"/>
      <c r="F95" s="70"/>
      <c r="G95" s="70"/>
      <c r="H95" s="129">
        <f>G95*Listas!$I$3</f>
        <v>0</v>
      </c>
    </row>
    <row r="96" spans="2:8" x14ac:dyDescent="0.25">
      <c r="B96" s="70" t="s">
        <v>188</v>
      </c>
      <c r="C96" s="70"/>
      <c r="D96" s="70"/>
      <c r="E96" s="70"/>
      <c r="F96" s="70"/>
      <c r="G96" s="70"/>
      <c r="H96" s="129">
        <f>G96*Listas!$I$3</f>
        <v>0</v>
      </c>
    </row>
    <row r="97" spans="2:8" x14ac:dyDescent="0.25">
      <c r="B97" s="70" t="s">
        <v>188</v>
      </c>
      <c r="C97" s="70"/>
      <c r="D97" s="70"/>
      <c r="E97" s="70"/>
      <c r="F97" s="70"/>
      <c r="G97" s="70"/>
      <c r="H97" s="129">
        <f>G97*Listas!$I$3</f>
        <v>0</v>
      </c>
    </row>
    <row r="98" spans="2:8" x14ac:dyDescent="0.25">
      <c r="B98" s="70" t="s">
        <v>188</v>
      </c>
      <c r="C98" s="70"/>
      <c r="D98" s="70"/>
      <c r="E98" s="70"/>
      <c r="F98" s="70"/>
      <c r="G98" s="70"/>
      <c r="H98" s="129">
        <f>G98*Listas!$I$3</f>
        <v>0</v>
      </c>
    </row>
    <row r="99" spans="2:8" x14ac:dyDescent="0.25">
      <c r="B99" s="70" t="s">
        <v>188</v>
      </c>
      <c r="C99" s="70"/>
      <c r="D99" s="70"/>
      <c r="E99" s="70"/>
      <c r="F99" s="70"/>
      <c r="G99" s="70"/>
      <c r="H99" s="129">
        <f>G99*Listas!$I$3</f>
        <v>0</v>
      </c>
    </row>
    <row r="100" spans="2:8" x14ac:dyDescent="0.25">
      <c r="B100" s="70" t="s">
        <v>188</v>
      </c>
      <c r="C100" s="70"/>
      <c r="D100" s="70"/>
      <c r="E100" s="70"/>
      <c r="F100" s="70"/>
      <c r="G100" s="70"/>
      <c r="H100" s="129">
        <f>G100*Listas!$I$3</f>
        <v>0</v>
      </c>
    </row>
    <row r="101" spans="2:8" x14ac:dyDescent="0.25">
      <c r="B101" s="70" t="s">
        <v>188</v>
      </c>
      <c r="C101" s="70"/>
      <c r="D101" s="70"/>
      <c r="E101" s="70"/>
      <c r="F101" s="70"/>
      <c r="G101" s="70"/>
      <c r="H101" s="129">
        <f>G101*Listas!$I$3</f>
        <v>0</v>
      </c>
    </row>
    <row r="102" spans="2:8" x14ac:dyDescent="0.25">
      <c r="B102" s="70" t="s">
        <v>188</v>
      </c>
      <c r="C102" s="70"/>
      <c r="D102" s="70"/>
      <c r="E102" s="70"/>
      <c r="F102" s="70"/>
      <c r="G102" s="70"/>
      <c r="H102" s="129">
        <f>G102*Listas!$I$3</f>
        <v>0</v>
      </c>
    </row>
    <row r="103" spans="2:8" x14ac:dyDescent="0.25">
      <c r="B103" s="70" t="s">
        <v>188</v>
      </c>
      <c r="C103" s="70"/>
      <c r="D103" s="70"/>
      <c r="E103" s="70"/>
      <c r="F103" s="70"/>
      <c r="G103" s="70"/>
      <c r="H103" s="129">
        <f>G103*Listas!$I$3</f>
        <v>0</v>
      </c>
    </row>
    <row r="104" spans="2:8" x14ac:dyDescent="0.25">
      <c r="B104" s="70" t="s">
        <v>188</v>
      </c>
      <c r="C104" s="70"/>
      <c r="D104" s="70"/>
      <c r="E104" s="70"/>
      <c r="F104" s="70"/>
      <c r="G104" s="70"/>
      <c r="H104" s="129">
        <f>G104*Listas!$I$3</f>
        <v>0</v>
      </c>
    </row>
    <row r="105" spans="2:8" x14ac:dyDescent="0.25">
      <c r="B105" s="70" t="s">
        <v>188</v>
      </c>
      <c r="C105" s="70"/>
      <c r="D105" s="70"/>
      <c r="E105" s="70"/>
      <c r="F105" s="70"/>
      <c r="G105" s="70"/>
      <c r="H105" s="129">
        <f>G105*Listas!$I$3</f>
        <v>0</v>
      </c>
    </row>
    <row r="106" spans="2:8" x14ac:dyDescent="0.25">
      <c r="B106" s="70" t="s">
        <v>188</v>
      </c>
      <c r="C106" s="70"/>
      <c r="D106" s="70"/>
      <c r="E106" s="70"/>
      <c r="F106" s="70"/>
      <c r="G106" s="70"/>
      <c r="H106" s="129">
        <f>G106*Listas!$I$3</f>
        <v>0</v>
      </c>
    </row>
    <row r="107" spans="2:8" x14ac:dyDescent="0.25">
      <c r="B107" s="70" t="s">
        <v>188</v>
      </c>
      <c r="C107" s="70"/>
      <c r="D107" s="70"/>
      <c r="E107" s="70"/>
      <c r="F107" s="70"/>
      <c r="G107" s="70"/>
      <c r="H107" s="129">
        <f>G107*Listas!$I$3</f>
        <v>0</v>
      </c>
    </row>
    <row r="108" spans="2:8" x14ac:dyDescent="0.25">
      <c r="B108" s="70" t="s">
        <v>188</v>
      </c>
      <c r="C108" s="70"/>
      <c r="D108" s="70"/>
      <c r="E108" s="70"/>
      <c r="F108" s="70"/>
      <c r="G108" s="70"/>
      <c r="H108" s="129">
        <f>G108*Listas!$I$3</f>
        <v>0</v>
      </c>
    </row>
    <row r="109" spans="2:8" x14ac:dyDescent="0.25">
      <c r="B109" s="70" t="s">
        <v>188</v>
      </c>
      <c r="C109" s="70"/>
      <c r="D109" s="70"/>
      <c r="E109" s="70"/>
      <c r="F109" s="70"/>
      <c r="G109" s="70"/>
      <c r="H109" s="129">
        <f>G109*Listas!$I$3</f>
        <v>0</v>
      </c>
    </row>
    <row r="110" spans="2:8" x14ac:dyDescent="0.25">
      <c r="B110" s="70" t="s">
        <v>188</v>
      </c>
      <c r="C110" s="70"/>
      <c r="D110" s="70"/>
      <c r="E110" s="70"/>
      <c r="F110" s="70"/>
      <c r="G110" s="70"/>
      <c r="H110" s="129">
        <f>G110*Listas!$I$3</f>
        <v>0</v>
      </c>
    </row>
    <row r="111" spans="2:8" x14ac:dyDescent="0.25">
      <c r="B111" s="70" t="s">
        <v>188</v>
      </c>
      <c r="C111" s="70"/>
      <c r="D111" s="70"/>
      <c r="E111" s="70"/>
      <c r="F111" s="70"/>
      <c r="G111" s="70"/>
      <c r="H111" s="129">
        <f>G111*Listas!$I$3</f>
        <v>0</v>
      </c>
    </row>
    <row r="112" spans="2:8" x14ac:dyDescent="0.25">
      <c r="B112" s="70" t="s">
        <v>188</v>
      </c>
      <c r="C112" s="70"/>
      <c r="D112" s="70"/>
      <c r="E112" s="70"/>
      <c r="F112" s="70"/>
      <c r="G112" s="70"/>
      <c r="H112" s="129">
        <f>G112*Listas!$I$3</f>
        <v>0</v>
      </c>
    </row>
    <row r="113" spans="2:8" x14ac:dyDescent="0.25">
      <c r="B113" s="70" t="s">
        <v>188</v>
      </c>
      <c r="C113" s="70"/>
      <c r="D113" s="70"/>
      <c r="E113" s="70"/>
      <c r="F113" s="70"/>
      <c r="G113" s="70"/>
      <c r="H113" s="129">
        <f>G113*Listas!$I$3</f>
        <v>0</v>
      </c>
    </row>
    <row r="114" spans="2:8" x14ac:dyDescent="0.25">
      <c r="B114" s="70" t="s">
        <v>188</v>
      </c>
      <c r="C114" s="70"/>
      <c r="D114" s="70"/>
      <c r="E114" s="70"/>
      <c r="F114" s="70"/>
      <c r="G114" s="70"/>
      <c r="H114" s="129">
        <f>G114*Listas!$I$3</f>
        <v>0</v>
      </c>
    </row>
    <row r="115" spans="2:8" x14ac:dyDescent="0.25">
      <c r="B115" s="70" t="s">
        <v>188</v>
      </c>
      <c r="C115" s="70"/>
      <c r="D115" s="70"/>
      <c r="E115" s="70"/>
      <c r="F115" s="70"/>
      <c r="G115" s="70"/>
      <c r="H115" s="129">
        <f>G115*Listas!$I$3</f>
        <v>0</v>
      </c>
    </row>
    <row r="116" spans="2:8" x14ac:dyDescent="0.25">
      <c r="B116" s="70" t="s">
        <v>188</v>
      </c>
      <c r="C116" s="70"/>
      <c r="D116" s="70"/>
      <c r="E116" s="70"/>
      <c r="F116" s="70"/>
      <c r="G116" s="70"/>
      <c r="H116" s="129">
        <f>G116*Listas!$I$3</f>
        <v>0</v>
      </c>
    </row>
    <row r="117" spans="2:8" x14ac:dyDescent="0.25">
      <c r="B117" s="70" t="s">
        <v>188</v>
      </c>
      <c r="C117" s="70"/>
      <c r="D117" s="70"/>
      <c r="E117" s="70"/>
      <c r="F117" s="70"/>
      <c r="G117" s="70"/>
      <c r="H117" s="129">
        <f>G117*Listas!$I$3</f>
        <v>0</v>
      </c>
    </row>
    <row r="118" spans="2:8" x14ac:dyDescent="0.25">
      <c r="B118" s="70" t="s">
        <v>188</v>
      </c>
      <c r="C118" s="70"/>
      <c r="D118" s="70"/>
      <c r="E118" s="70"/>
      <c r="F118" s="70"/>
      <c r="G118" s="70"/>
      <c r="H118" s="129">
        <f>G118*Listas!$I$3</f>
        <v>0</v>
      </c>
    </row>
    <row r="119" spans="2:8" x14ac:dyDescent="0.25">
      <c r="B119" s="70" t="s">
        <v>188</v>
      </c>
      <c r="C119" s="70"/>
      <c r="D119" s="70"/>
      <c r="E119" s="70"/>
      <c r="F119" s="70"/>
      <c r="G119" s="70"/>
      <c r="H119" s="129">
        <f>G119*Listas!$I$3</f>
        <v>0</v>
      </c>
    </row>
    <row r="120" spans="2:8" x14ac:dyDescent="0.25">
      <c r="B120" s="70" t="s">
        <v>188</v>
      </c>
      <c r="C120" s="70"/>
      <c r="D120" s="70"/>
      <c r="E120" s="70"/>
      <c r="F120" s="70"/>
      <c r="G120" s="70"/>
      <c r="H120" s="129">
        <f>G120*Listas!$I$3</f>
        <v>0</v>
      </c>
    </row>
    <row r="121" spans="2:8" x14ac:dyDescent="0.25">
      <c r="B121" s="70" t="s">
        <v>188</v>
      </c>
      <c r="C121" s="70"/>
      <c r="D121" s="70"/>
      <c r="E121" s="70"/>
      <c r="F121" s="70"/>
      <c r="G121" s="70"/>
      <c r="H121" s="129">
        <f>G121*Listas!$I$3</f>
        <v>0</v>
      </c>
    </row>
    <row r="122" spans="2:8" x14ac:dyDescent="0.25">
      <c r="B122" s="70" t="s">
        <v>188</v>
      </c>
      <c r="C122" s="70"/>
      <c r="D122" s="70"/>
      <c r="E122" s="70"/>
      <c r="F122" s="70"/>
      <c r="G122" s="70"/>
      <c r="H122" s="129">
        <f>G122*Listas!$I$3</f>
        <v>0</v>
      </c>
    </row>
    <row r="123" spans="2:8" x14ac:dyDescent="0.25">
      <c r="B123" s="70" t="s">
        <v>188</v>
      </c>
      <c r="C123" s="70"/>
      <c r="D123" s="70"/>
      <c r="E123" s="70"/>
      <c r="F123" s="70"/>
      <c r="G123" s="70"/>
      <c r="H123" s="129">
        <f>G123*Listas!$I$3</f>
        <v>0</v>
      </c>
    </row>
    <row r="124" spans="2:8" x14ac:dyDescent="0.25">
      <c r="B124" s="70" t="s">
        <v>188</v>
      </c>
      <c r="C124" s="70"/>
      <c r="D124" s="70"/>
      <c r="E124" s="70"/>
      <c r="F124" s="70"/>
      <c r="G124" s="70"/>
      <c r="H124" s="129">
        <f>G124*Listas!$I$3</f>
        <v>0</v>
      </c>
    </row>
    <row r="125" spans="2:8" x14ac:dyDescent="0.25">
      <c r="B125" s="70" t="s">
        <v>188</v>
      </c>
      <c r="C125" s="70"/>
      <c r="D125" s="70"/>
      <c r="E125" s="70"/>
      <c r="F125" s="70"/>
      <c r="G125" s="70"/>
      <c r="H125" s="129">
        <f>G125*Listas!$I$3</f>
        <v>0</v>
      </c>
    </row>
    <row r="126" spans="2:8" x14ac:dyDescent="0.25">
      <c r="B126" s="70" t="s">
        <v>188</v>
      </c>
      <c r="C126" s="70"/>
      <c r="D126" s="70"/>
      <c r="E126" s="70"/>
      <c r="F126" s="70"/>
      <c r="G126" s="70"/>
      <c r="H126" s="129">
        <f>G126*Listas!$I$3</f>
        <v>0</v>
      </c>
    </row>
    <row r="127" spans="2:8" x14ac:dyDescent="0.25">
      <c r="B127" s="70" t="s">
        <v>188</v>
      </c>
      <c r="C127" s="70"/>
      <c r="D127" s="70"/>
      <c r="E127" s="70"/>
      <c r="F127" s="70"/>
      <c r="G127" s="70"/>
      <c r="H127" s="129">
        <f>G127*Listas!$I$3</f>
        <v>0</v>
      </c>
    </row>
    <row r="128" spans="2:8" x14ac:dyDescent="0.25">
      <c r="B128" s="70" t="s">
        <v>188</v>
      </c>
      <c r="C128" s="70"/>
      <c r="D128" s="70"/>
      <c r="E128" s="70"/>
      <c r="F128" s="70"/>
      <c r="G128" s="70"/>
      <c r="H128" s="129">
        <f>G128*Listas!$I$3</f>
        <v>0</v>
      </c>
    </row>
    <row r="129" spans="2:8" x14ac:dyDescent="0.25">
      <c r="B129" s="70" t="s">
        <v>188</v>
      </c>
      <c r="C129" s="70"/>
      <c r="D129" s="70"/>
      <c r="E129" s="70"/>
      <c r="F129" s="70"/>
      <c r="G129" s="70"/>
      <c r="H129" s="129">
        <f>G129*Listas!$I$3</f>
        <v>0</v>
      </c>
    </row>
    <row r="130" spans="2:8" x14ac:dyDescent="0.25">
      <c r="B130" s="70" t="s">
        <v>188</v>
      </c>
      <c r="C130" s="70"/>
      <c r="D130" s="70"/>
      <c r="E130" s="70"/>
      <c r="F130" s="70"/>
      <c r="G130" s="70"/>
      <c r="H130" s="129">
        <f>G130*Listas!$I$3</f>
        <v>0</v>
      </c>
    </row>
    <row r="131" spans="2:8" x14ac:dyDescent="0.25">
      <c r="B131" s="70" t="s">
        <v>188</v>
      </c>
      <c r="C131" s="70"/>
      <c r="D131" s="70"/>
      <c r="E131" s="70"/>
      <c r="F131" s="70"/>
      <c r="G131" s="70"/>
      <c r="H131" s="129">
        <f>G131*Listas!$I$3</f>
        <v>0</v>
      </c>
    </row>
    <row r="132" spans="2:8" x14ac:dyDescent="0.25">
      <c r="B132" s="70" t="s">
        <v>188</v>
      </c>
      <c r="C132" s="70"/>
      <c r="D132" s="70"/>
      <c r="E132" s="70"/>
      <c r="F132" s="70"/>
      <c r="G132" s="70"/>
      <c r="H132" s="129">
        <f>G132*Listas!$I$3</f>
        <v>0</v>
      </c>
    </row>
    <row r="133" spans="2:8" x14ac:dyDescent="0.25">
      <c r="B133" s="70" t="s">
        <v>188</v>
      </c>
      <c r="C133" s="70"/>
      <c r="D133" s="70"/>
      <c r="E133" s="70"/>
      <c r="F133" s="70"/>
      <c r="G133" s="70"/>
      <c r="H133" s="129">
        <f>G133*Listas!$I$3</f>
        <v>0</v>
      </c>
    </row>
    <row r="134" spans="2:8" x14ac:dyDescent="0.25">
      <c r="B134" s="70" t="s">
        <v>188</v>
      </c>
      <c r="C134" s="70"/>
      <c r="D134" s="70"/>
      <c r="E134" s="70"/>
      <c r="F134" s="70"/>
      <c r="G134" s="70"/>
      <c r="H134" s="129">
        <f>G134*Listas!$I$3</f>
        <v>0</v>
      </c>
    </row>
    <row r="135" spans="2:8" x14ac:dyDescent="0.25">
      <c r="B135" s="70" t="s">
        <v>188</v>
      </c>
      <c r="C135" s="70"/>
      <c r="D135" s="70"/>
      <c r="E135" s="70"/>
      <c r="F135" s="70"/>
      <c r="G135" s="70"/>
      <c r="H135" s="129">
        <f>G135*Listas!$I$3</f>
        <v>0</v>
      </c>
    </row>
    <row r="136" spans="2:8" x14ac:dyDescent="0.25">
      <c r="B136" s="70" t="s">
        <v>188</v>
      </c>
      <c r="C136" s="70"/>
      <c r="D136" s="70"/>
      <c r="E136" s="70"/>
      <c r="F136" s="70"/>
      <c r="G136" s="70"/>
      <c r="H136" s="129">
        <f>G136*Listas!$I$3</f>
        <v>0</v>
      </c>
    </row>
    <row r="137" spans="2:8" x14ac:dyDescent="0.25">
      <c r="B137" s="70" t="s">
        <v>188</v>
      </c>
      <c r="C137" s="70"/>
      <c r="D137" s="70"/>
      <c r="E137" s="70"/>
      <c r="F137" s="70"/>
      <c r="G137" s="70"/>
      <c r="H137" s="129">
        <f>G137*Listas!$I$3</f>
        <v>0</v>
      </c>
    </row>
    <row r="138" spans="2:8" x14ac:dyDescent="0.25">
      <c r="B138" s="70" t="s">
        <v>188</v>
      </c>
      <c r="C138" s="70"/>
      <c r="D138" s="70"/>
      <c r="E138" s="70"/>
      <c r="F138" s="70"/>
      <c r="G138" s="70"/>
      <c r="H138" s="129">
        <f>G138*Listas!$I$3</f>
        <v>0</v>
      </c>
    </row>
    <row r="139" spans="2:8" x14ac:dyDescent="0.25">
      <c r="B139" s="70" t="s">
        <v>188</v>
      </c>
      <c r="C139" s="70"/>
      <c r="D139" s="70"/>
      <c r="E139" s="70"/>
      <c r="F139" s="70"/>
      <c r="G139" s="70"/>
      <c r="H139" s="129">
        <f>G139*Listas!$I$3</f>
        <v>0</v>
      </c>
    </row>
    <row r="140" spans="2:8" x14ac:dyDescent="0.25">
      <c r="B140" s="70" t="s">
        <v>188</v>
      </c>
      <c r="C140" s="70"/>
      <c r="D140" s="70"/>
      <c r="E140" s="70"/>
      <c r="F140" s="70"/>
      <c r="G140" s="70"/>
      <c r="H140" s="129">
        <f>G140*Listas!$I$3</f>
        <v>0</v>
      </c>
    </row>
    <row r="141" spans="2:8" x14ac:dyDescent="0.25">
      <c r="B141" s="70" t="s">
        <v>188</v>
      </c>
      <c r="C141" s="70"/>
      <c r="D141" s="70"/>
      <c r="E141" s="70"/>
      <c r="F141" s="70"/>
      <c r="G141" s="70"/>
      <c r="H141" s="129">
        <f>G141*Listas!$I$3</f>
        <v>0</v>
      </c>
    </row>
    <row r="142" spans="2:8" x14ac:dyDescent="0.25">
      <c r="B142" s="70" t="s">
        <v>188</v>
      </c>
      <c r="C142" s="70"/>
      <c r="D142" s="70"/>
      <c r="E142" s="70"/>
      <c r="F142" s="70"/>
      <c r="G142" s="70"/>
      <c r="H142" s="129">
        <f>G142*Listas!$I$3</f>
        <v>0</v>
      </c>
    </row>
    <row r="143" spans="2:8" x14ac:dyDescent="0.25">
      <c r="B143" s="70" t="s">
        <v>188</v>
      </c>
      <c r="C143" s="70"/>
      <c r="D143" s="70"/>
      <c r="E143" s="70"/>
      <c r="F143" s="70"/>
      <c r="G143" s="70"/>
      <c r="H143" s="129">
        <f>G143*Listas!$I$3</f>
        <v>0</v>
      </c>
    </row>
    <row r="144" spans="2:8" x14ac:dyDescent="0.25">
      <c r="B144" s="70" t="s">
        <v>188</v>
      </c>
      <c r="C144" s="70"/>
      <c r="D144" s="70"/>
      <c r="E144" s="70"/>
      <c r="F144" s="70"/>
      <c r="G144" s="70"/>
      <c r="H144" s="129">
        <f>G144*Listas!$I$3</f>
        <v>0</v>
      </c>
    </row>
    <row r="145" spans="2:8" x14ac:dyDescent="0.25">
      <c r="B145" s="70" t="s">
        <v>188</v>
      </c>
      <c r="C145" s="70"/>
      <c r="D145" s="70"/>
      <c r="E145" s="70"/>
      <c r="F145" s="70"/>
      <c r="G145" s="70"/>
      <c r="H145" s="129">
        <f>G145*Listas!$I$3</f>
        <v>0</v>
      </c>
    </row>
    <row r="146" spans="2:8" x14ac:dyDescent="0.25">
      <c r="B146" s="70" t="s">
        <v>188</v>
      </c>
      <c r="C146" s="70"/>
      <c r="D146" s="70"/>
      <c r="E146" s="70"/>
      <c r="F146" s="70"/>
      <c r="G146" s="70"/>
      <c r="H146" s="129">
        <f>G146*Listas!$I$3</f>
        <v>0</v>
      </c>
    </row>
    <row r="147" spans="2:8" x14ac:dyDescent="0.25">
      <c r="B147" s="70" t="s">
        <v>188</v>
      </c>
      <c r="C147" s="70"/>
      <c r="D147" s="70"/>
      <c r="E147" s="70"/>
      <c r="F147" s="70"/>
      <c r="G147" s="70"/>
      <c r="H147" s="129">
        <f>G147*Listas!$I$3</f>
        <v>0</v>
      </c>
    </row>
    <row r="148" spans="2:8" x14ac:dyDescent="0.25">
      <c r="B148" s="70" t="s">
        <v>188</v>
      </c>
      <c r="C148" s="70"/>
      <c r="D148" s="70"/>
      <c r="E148" s="70"/>
      <c r="F148" s="70"/>
      <c r="G148" s="70"/>
      <c r="H148" s="129">
        <f>G148*Listas!$I$3</f>
        <v>0</v>
      </c>
    </row>
    <row r="149" spans="2:8" x14ac:dyDescent="0.25">
      <c r="B149" s="70" t="s">
        <v>188</v>
      </c>
      <c r="C149" s="70"/>
      <c r="D149" s="70"/>
      <c r="E149" s="70"/>
      <c r="F149" s="70"/>
      <c r="G149" s="70"/>
      <c r="H149" s="129">
        <f>G149*Listas!$I$3</f>
        <v>0</v>
      </c>
    </row>
    <row r="150" spans="2:8" x14ac:dyDescent="0.25">
      <c r="B150" s="70" t="s">
        <v>188</v>
      </c>
      <c r="C150" s="70"/>
      <c r="D150" s="70"/>
      <c r="E150" s="70"/>
      <c r="F150" s="70"/>
      <c r="G150" s="70"/>
      <c r="H150" s="129">
        <f>G150*Listas!$I$3</f>
        <v>0</v>
      </c>
    </row>
    <row r="151" spans="2:8" x14ac:dyDescent="0.25">
      <c r="B151" s="70" t="s">
        <v>188</v>
      </c>
      <c r="C151" s="70"/>
      <c r="D151" s="70"/>
      <c r="E151" s="70"/>
      <c r="F151" s="70"/>
      <c r="G151" s="70"/>
      <c r="H151" s="129">
        <f>G151*Listas!$I$3</f>
        <v>0</v>
      </c>
    </row>
    <row r="152" spans="2:8" x14ac:dyDescent="0.25">
      <c r="B152" s="70" t="s">
        <v>188</v>
      </c>
      <c r="C152" s="70"/>
      <c r="D152" s="70"/>
      <c r="E152" s="70"/>
      <c r="F152" s="70"/>
      <c r="G152" s="70"/>
      <c r="H152" s="129">
        <f>G152*Listas!$I$3</f>
        <v>0</v>
      </c>
    </row>
    <row r="153" spans="2:8" x14ac:dyDescent="0.25">
      <c r="B153" s="70" t="s">
        <v>188</v>
      </c>
      <c r="C153" s="70"/>
      <c r="D153" s="70"/>
      <c r="E153" s="70"/>
      <c r="F153" s="70"/>
      <c r="G153" s="70"/>
      <c r="H153" s="129">
        <f>G153*Listas!$I$3</f>
        <v>0</v>
      </c>
    </row>
    <row r="154" spans="2:8" x14ac:dyDescent="0.25">
      <c r="B154" s="70" t="s">
        <v>188</v>
      </c>
      <c r="C154" s="70"/>
      <c r="D154" s="70"/>
      <c r="E154" s="70"/>
      <c r="F154" s="70"/>
      <c r="G154" s="70"/>
      <c r="H154" s="129">
        <f>G154*Listas!$I$3</f>
        <v>0</v>
      </c>
    </row>
    <row r="155" spans="2:8" x14ac:dyDescent="0.25">
      <c r="B155" s="70" t="s">
        <v>188</v>
      </c>
      <c r="C155" s="70"/>
      <c r="D155" s="70"/>
      <c r="E155" s="70"/>
      <c r="F155" s="70"/>
      <c r="G155" s="70"/>
      <c r="H155" s="129">
        <f>G155*Listas!$I$3</f>
        <v>0</v>
      </c>
    </row>
    <row r="156" spans="2:8" x14ac:dyDescent="0.25">
      <c r="B156" s="70" t="s">
        <v>188</v>
      </c>
      <c r="C156" s="70"/>
      <c r="D156" s="70"/>
      <c r="E156" s="70"/>
      <c r="F156" s="70"/>
      <c r="G156" s="70"/>
      <c r="H156" s="129">
        <f>G156*Listas!$I$3</f>
        <v>0</v>
      </c>
    </row>
    <row r="157" spans="2:8" x14ac:dyDescent="0.25">
      <c r="B157" s="70" t="s">
        <v>188</v>
      </c>
      <c r="C157" s="70"/>
      <c r="D157" s="70"/>
      <c r="E157" s="70"/>
      <c r="F157" s="70"/>
      <c r="G157" s="70"/>
      <c r="H157" s="129">
        <f>G157*Listas!$I$3</f>
        <v>0</v>
      </c>
    </row>
    <row r="158" spans="2:8" x14ac:dyDescent="0.25">
      <c r="B158" s="70" t="s">
        <v>188</v>
      </c>
      <c r="C158" s="70"/>
      <c r="D158" s="70"/>
      <c r="E158" s="70"/>
      <c r="F158" s="70"/>
      <c r="G158" s="70"/>
      <c r="H158" s="129">
        <f>G158*Listas!$I$3</f>
        <v>0</v>
      </c>
    </row>
    <row r="159" spans="2:8" x14ac:dyDescent="0.25">
      <c r="B159" s="70" t="s">
        <v>188</v>
      </c>
      <c r="C159" s="70"/>
      <c r="D159" s="70"/>
      <c r="E159" s="70"/>
      <c r="F159" s="70"/>
      <c r="G159" s="70"/>
      <c r="H159" s="129">
        <f>G159*Listas!$I$3</f>
        <v>0</v>
      </c>
    </row>
    <row r="160" spans="2:8" x14ac:dyDescent="0.25">
      <c r="B160" s="70" t="s">
        <v>188</v>
      </c>
      <c r="C160" s="70"/>
      <c r="D160" s="70"/>
      <c r="E160" s="70"/>
      <c r="F160" s="70"/>
      <c r="G160" s="70"/>
      <c r="H160" s="129">
        <f>G160*Listas!$I$3</f>
        <v>0</v>
      </c>
    </row>
    <row r="161" spans="2:8" x14ac:dyDescent="0.25">
      <c r="B161" s="70" t="s">
        <v>188</v>
      </c>
      <c r="C161" s="70"/>
      <c r="D161" s="70"/>
      <c r="E161" s="70"/>
      <c r="F161" s="70"/>
      <c r="G161" s="70"/>
      <c r="H161" s="129">
        <f>G161*Listas!$I$3</f>
        <v>0</v>
      </c>
    </row>
    <row r="162" spans="2:8" x14ac:dyDescent="0.25">
      <c r="B162" s="70" t="s">
        <v>188</v>
      </c>
      <c r="C162" s="70"/>
      <c r="D162" s="70"/>
      <c r="E162" s="70"/>
      <c r="F162" s="70"/>
      <c r="G162" s="70"/>
      <c r="H162" s="129">
        <f>G162*Listas!$I$3</f>
        <v>0</v>
      </c>
    </row>
    <row r="163" spans="2:8" x14ac:dyDescent="0.25">
      <c r="B163" s="70" t="s">
        <v>188</v>
      </c>
      <c r="C163" s="70"/>
      <c r="D163" s="70"/>
      <c r="E163" s="70"/>
      <c r="F163" s="70"/>
      <c r="G163" s="70"/>
      <c r="H163" s="129">
        <f>G163*Listas!$I$3</f>
        <v>0</v>
      </c>
    </row>
    <row r="164" spans="2:8" x14ac:dyDescent="0.25">
      <c r="B164" s="70" t="s">
        <v>188</v>
      </c>
      <c r="C164" s="70"/>
      <c r="D164" s="70"/>
      <c r="E164" s="70"/>
      <c r="F164" s="70"/>
      <c r="G164" s="70"/>
      <c r="H164" s="129">
        <f>G164*Listas!$I$3</f>
        <v>0</v>
      </c>
    </row>
    <row r="165" spans="2:8" x14ac:dyDescent="0.25">
      <c r="B165" s="70" t="s">
        <v>188</v>
      </c>
      <c r="C165" s="70"/>
      <c r="D165" s="70"/>
      <c r="E165" s="70"/>
      <c r="F165" s="70"/>
      <c r="G165" s="70"/>
      <c r="H165" s="129">
        <f>G165*Listas!$I$3</f>
        <v>0</v>
      </c>
    </row>
    <row r="166" spans="2:8" x14ac:dyDescent="0.25">
      <c r="B166" s="70" t="s">
        <v>188</v>
      </c>
      <c r="C166" s="70"/>
      <c r="D166" s="70"/>
      <c r="E166" s="70"/>
      <c r="F166" s="70"/>
      <c r="G166" s="70"/>
      <c r="H166" s="129">
        <f>G166*Listas!$I$3</f>
        <v>0</v>
      </c>
    </row>
    <row r="167" spans="2:8" x14ac:dyDescent="0.25">
      <c r="B167" s="70" t="s">
        <v>188</v>
      </c>
      <c r="C167" s="70"/>
      <c r="D167" s="70"/>
      <c r="E167" s="70"/>
      <c r="F167" s="70"/>
      <c r="G167" s="70"/>
      <c r="H167" s="129">
        <f>G167*Listas!$I$3</f>
        <v>0</v>
      </c>
    </row>
    <row r="168" spans="2:8" x14ac:dyDescent="0.25">
      <c r="B168" s="70" t="s">
        <v>188</v>
      </c>
      <c r="C168" s="70"/>
      <c r="D168" s="70"/>
      <c r="E168" s="70"/>
      <c r="F168" s="70"/>
      <c r="G168" s="70"/>
      <c r="H168" s="129">
        <f>G168*Listas!$I$3</f>
        <v>0</v>
      </c>
    </row>
    <row r="169" spans="2:8" x14ac:dyDescent="0.25">
      <c r="B169" s="70" t="s">
        <v>188</v>
      </c>
      <c r="C169" s="70"/>
      <c r="D169" s="70"/>
      <c r="E169" s="70"/>
      <c r="F169" s="70"/>
      <c r="G169" s="70"/>
      <c r="H169" s="129">
        <f>G169*Listas!$I$3</f>
        <v>0</v>
      </c>
    </row>
    <row r="170" spans="2:8" x14ac:dyDescent="0.25">
      <c r="B170" s="70" t="s">
        <v>188</v>
      </c>
      <c r="C170" s="70"/>
      <c r="D170" s="70"/>
      <c r="E170" s="70"/>
      <c r="F170" s="70"/>
      <c r="G170" s="70"/>
      <c r="H170" s="129">
        <f>G170*Listas!$I$3</f>
        <v>0</v>
      </c>
    </row>
    <row r="171" spans="2:8" x14ac:dyDescent="0.25">
      <c r="B171" s="70" t="s">
        <v>188</v>
      </c>
      <c r="C171" s="70"/>
      <c r="D171" s="70"/>
      <c r="E171" s="70"/>
      <c r="F171" s="70"/>
      <c r="G171" s="70"/>
      <c r="H171" s="129">
        <f>G171*Listas!$I$3</f>
        <v>0</v>
      </c>
    </row>
    <row r="172" spans="2:8" x14ac:dyDescent="0.25">
      <c r="B172" s="70" t="s">
        <v>188</v>
      </c>
      <c r="C172" s="70"/>
      <c r="D172" s="70"/>
      <c r="E172" s="70"/>
      <c r="F172" s="70"/>
      <c r="G172" s="70"/>
      <c r="H172" s="129">
        <f>G172*Listas!$I$3</f>
        <v>0</v>
      </c>
    </row>
    <row r="173" spans="2:8" x14ac:dyDescent="0.25">
      <c r="B173" s="70" t="s">
        <v>188</v>
      </c>
      <c r="C173" s="70"/>
      <c r="D173" s="70"/>
      <c r="E173" s="70"/>
      <c r="F173" s="70"/>
      <c r="G173" s="70"/>
      <c r="H173" s="129">
        <f>G173*Listas!$I$3</f>
        <v>0</v>
      </c>
    </row>
    <row r="174" spans="2:8" x14ac:dyDescent="0.25">
      <c r="B174" s="70" t="s">
        <v>188</v>
      </c>
      <c r="C174" s="70"/>
      <c r="D174" s="70"/>
      <c r="E174" s="70"/>
      <c r="F174" s="70"/>
      <c r="G174" s="70"/>
      <c r="H174" s="129">
        <f>G174*Listas!$I$3</f>
        <v>0</v>
      </c>
    </row>
    <row r="175" spans="2:8" x14ac:dyDescent="0.25">
      <c r="B175" s="70" t="s">
        <v>188</v>
      </c>
      <c r="C175" s="70"/>
      <c r="D175" s="70"/>
      <c r="E175" s="70"/>
      <c r="F175" s="70"/>
      <c r="G175" s="70"/>
      <c r="H175" s="129">
        <f>G175*Listas!$I$3</f>
        <v>0</v>
      </c>
    </row>
    <row r="176" spans="2:8" x14ac:dyDescent="0.25">
      <c r="B176" s="70" t="s">
        <v>188</v>
      </c>
      <c r="C176" s="70"/>
      <c r="D176" s="70"/>
      <c r="E176" s="70"/>
      <c r="F176" s="70"/>
      <c r="G176" s="70"/>
      <c r="H176" s="129">
        <f>G176*Listas!$I$3</f>
        <v>0</v>
      </c>
    </row>
    <row r="177" spans="2:8" x14ac:dyDescent="0.25">
      <c r="B177" s="70" t="s">
        <v>188</v>
      </c>
      <c r="C177" s="70"/>
      <c r="D177" s="70"/>
      <c r="E177" s="70"/>
      <c r="F177" s="70"/>
      <c r="G177" s="70"/>
      <c r="H177" s="129">
        <f>G177*Listas!$I$3</f>
        <v>0</v>
      </c>
    </row>
    <row r="178" spans="2:8" x14ac:dyDescent="0.25">
      <c r="B178" s="70" t="s">
        <v>188</v>
      </c>
      <c r="C178" s="70"/>
      <c r="D178" s="70"/>
      <c r="E178" s="70"/>
      <c r="F178" s="70"/>
      <c r="G178" s="70"/>
      <c r="H178" s="129">
        <f>G178*Listas!$I$3</f>
        <v>0</v>
      </c>
    </row>
    <row r="179" spans="2:8" x14ac:dyDescent="0.25">
      <c r="B179" s="70" t="s">
        <v>188</v>
      </c>
      <c r="C179" s="70"/>
      <c r="D179" s="70"/>
      <c r="E179" s="70"/>
      <c r="F179" s="70"/>
      <c r="G179" s="70"/>
      <c r="H179" s="129">
        <f>G179*Listas!$I$3</f>
        <v>0</v>
      </c>
    </row>
    <row r="180" spans="2:8" x14ac:dyDescent="0.25">
      <c r="B180" s="70" t="s">
        <v>188</v>
      </c>
      <c r="C180" s="70"/>
      <c r="D180" s="70"/>
      <c r="E180" s="70"/>
      <c r="F180" s="70"/>
      <c r="G180" s="70"/>
      <c r="H180" s="129">
        <f>G180*Listas!$I$3</f>
        <v>0</v>
      </c>
    </row>
    <row r="181" spans="2:8" x14ac:dyDescent="0.25">
      <c r="B181" s="70" t="s">
        <v>188</v>
      </c>
      <c r="C181" s="70"/>
      <c r="D181" s="70"/>
      <c r="E181" s="70"/>
      <c r="F181" s="70"/>
      <c r="G181" s="70"/>
      <c r="H181" s="129">
        <f>G181*Listas!$I$3</f>
        <v>0</v>
      </c>
    </row>
    <row r="182" spans="2:8" x14ac:dyDescent="0.25">
      <c r="B182" s="70" t="s">
        <v>188</v>
      </c>
      <c r="C182" s="70"/>
      <c r="D182" s="70"/>
      <c r="E182" s="70"/>
      <c r="F182" s="70"/>
      <c r="G182" s="70"/>
      <c r="H182" s="129">
        <f>G182*Listas!$I$3</f>
        <v>0</v>
      </c>
    </row>
    <row r="183" spans="2:8" x14ac:dyDescent="0.25">
      <c r="B183" s="70" t="s">
        <v>188</v>
      </c>
      <c r="C183" s="70"/>
      <c r="D183" s="70"/>
      <c r="E183" s="70"/>
      <c r="F183" s="70"/>
      <c r="G183" s="70"/>
      <c r="H183" s="129">
        <f>G183*Listas!$I$3</f>
        <v>0</v>
      </c>
    </row>
    <row r="184" spans="2:8" x14ac:dyDescent="0.25">
      <c r="B184" s="70" t="s">
        <v>188</v>
      </c>
      <c r="C184" s="70"/>
      <c r="D184" s="70"/>
      <c r="E184" s="70"/>
      <c r="F184" s="70"/>
      <c r="G184" s="70"/>
      <c r="H184" s="129">
        <f>G184*Listas!$I$3</f>
        <v>0</v>
      </c>
    </row>
    <row r="185" spans="2:8" x14ac:dyDescent="0.25">
      <c r="B185" s="70" t="s">
        <v>188</v>
      </c>
      <c r="C185" s="70"/>
      <c r="D185" s="70"/>
      <c r="E185" s="70"/>
      <c r="F185" s="70"/>
      <c r="G185" s="70"/>
      <c r="H185" s="129">
        <f>G185*Listas!$I$3</f>
        <v>0</v>
      </c>
    </row>
    <row r="186" spans="2:8" x14ac:dyDescent="0.25">
      <c r="B186" s="70" t="s">
        <v>188</v>
      </c>
      <c r="C186" s="70"/>
      <c r="D186" s="70"/>
      <c r="E186" s="70"/>
      <c r="F186" s="70"/>
      <c r="G186" s="70"/>
      <c r="H186" s="129">
        <f>G186*Listas!$I$3</f>
        <v>0</v>
      </c>
    </row>
    <row r="187" spans="2:8" x14ac:dyDescent="0.25">
      <c r="B187" s="70" t="s">
        <v>188</v>
      </c>
      <c r="C187" s="70"/>
      <c r="D187" s="70"/>
      <c r="E187" s="70"/>
      <c r="F187" s="70"/>
      <c r="G187" s="70"/>
      <c r="H187" s="129">
        <f>G187*Listas!$I$3</f>
        <v>0</v>
      </c>
    </row>
    <row r="188" spans="2:8" x14ac:dyDescent="0.25">
      <c r="B188" s="70" t="s">
        <v>188</v>
      </c>
      <c r="C188" s="70"/>
      <c r="D188" s="70"/>
      <c r="E188" s="70"/>
      <c r="F188" s="70"/>
      <c r="G188" s="70"/>
      <c r="H188" s="129">
        <f>G188*Listas!$I$3</f>
        <v>0</v>
      </c>
    </row>
    <row r="189" spans="2:8" x14ac:dyDescent="0.25">
      <c r="B189" s="70" t="s">
        <v>188</v>
      </c>
      <c r="C189" s="70"/>
      <c r="D189" s="70"/>
      <c r="E189" s="70"/>
      <c r="F189" s="70"/>
      <c r="G189" s="70"/>
      <c r="H189" s="129">
        <f>G189*Listas!$I$3</f>
        <v>0</v>
      </c>
    </row>
    <row r="190" spans="2:8" x14ac:dyDescent="0.25">
      <c r="B190" s="70" t="s">
        <v>188</v>
      </c>
      <c r="C190" s="70"/>
      <c r="D190" s="70"/>
      <c r="E190" s="70"/>
      <c r="F190" s="70"/>
      <c r="G190" s="70"/>
      <c r="H190" s="129">
        <f>G190*Listas!$I$3</f>
        <v>0</v>
      </c>
    </row>
    <row r="191" spans="2:8" x14ac:dyDescent="0.25">
      <c r="B191" s="70" t="s">
        <v>188</v>
      </c>
      <c r="C191" s="70"/>
      <c r="D191" s="70"/>
      <c r="E191" s="70"/>
      <c r="F191" s="70"/>
      <c r="G191" s="70"/>
      <c r="H191" s="129">
        <f>G191*Listas!$I$3</f>
        <v>0</v>
      </c>
    </row>
    <row r="192" spans="2:8" x14ac:dyDescent="0.25">
      <c r="B192" s="70" t="s">
        <v>188</v>
      </c>
      <c r="C192" s="70"/>
      <c r="D192" s="70"/>
      <c r="E192" s="70"/>
      <c r="F192" s="70"/>
      <c r="G192" s="70"/>
      <c r="H192" s="129">
        <f>G192*Listas!$I$3</f>
        <v>0</v>
      </c>
    </row>
    <row r="193" spans="2:8" x14ac:dyDescent="0.25">
      <c r="B193" s="70" t="s">
        <v>188</v>
      </c>
      <c r="C193" s="70"/>
      <c r="D193" s="70"/>
      <c r="E193" s="70"/>
      <c r="F193" s="70"/>
      <c r="G193" s="70"/>
      <c r="H193" s="129">
        <f>G193*Listas!$I$3</f>
        <v>0</v>
      </c>
    </row>
    <row r="194" spans="2:8" x14ac:dyDescent="0.25">
      <c r="B194" s="70" t="s">
        <v>188</v>
      </c>
      <c r="C194" s="70"/>
      <c r="D194" s="70"/>
      <c r="E194" s="70"/>
      <c r="F194" s="70"/>
      <c r="G194" s="70"/>
      <c r="H194" s="129">
        <f>G194*Listas!$I$3</f>
        <v>0</v>
      </c>
    </row>
    <row r="195" spans="2:8" x14ac:dyDescent="0.25">
      <c r="B195" s="70" t="s">
        <v>188</v>
      </c>
      <c r="C195" s="70"/>
      <c r="D195" s="70"/>
      <c r="E195" s="70"/>
      <c r="F195" s="70"/>
      <c r="G195" s="70"/>
      <c r="H195" s="129">
        <f>G195*Listas!$I$3</f>
        <v>0</v>
      </c>
    </row>
    <row r="196" spans="2:8" x14ac:dyDescent="0.25">
      <c r="B196" s="70" t="s">
        <v>188</v>
      </c>
      <c r="C196" s="70"/>
      <c r="D196" s="70"/>
      <c r="E196" s="70"/>
      <c r="F196" s="70"/>
      <c r="G196" s="70"/>
      <c r="H196" s="129">
        <f>G196*Listas!$I$3</f>
        <v>0</v>
      </c>
    </row>
    <row r="197" spans="2:8" x14ac:dyDescent="0.25">
      <c r="B197" s="70" t="s">
        <v>188</v>
      </c>
      <c r="C197" s="70"/>
      <c r="D197" s="70"/>
      <c r="E197" s="70"/>
      <c r="F197" s="70"/>
      <c r="G197" s="70"/>
      <c r="H197" s="129">
        <f>G197*Listas!$I$3</f>
        <v>0</v>
      </c>
    </row>
    <row r="198" spans="2:8" x14ac:dyDescent="0.25">
      <c r="B198" s="70" t="s">
        <v>188</v>
      </c>
      <c r="C198" s="70"/>
      <c r="D198" s="70"/>
      <c r="E198" s="70"/>
      <c r="F198" s="70"/>
      <c r="G198" s="70"/>
      <c r="H198" s="129">
        <f>G198*Listas!$I$3</f>
        <v>0</v>
      </c>
    </row>
    <row r="199" spans="2:8" x14ac:dyDescent="0.25">
      <c r="B199" s="70" t="s">
        <v>188</v>
      </c>
      <c r="C199" s="70"/>
      <c r="D199" s="70"/>
      <c r="E199" s="70"/>
      <c r="F199" s="70"/>
      <c r="G199" s="70"/>
      <c r="H199" s="129">
        <f>G199*Listas!$I$3</f>
        <v>0</v>
      </c>
    </row>
    <row r="200" spans="2:8" x14ac:dyDescent="0.25">
      <c r="B200" s="70" t="s">
        <v>188</v>
      </c>
      <c r="C200" s="70"/>
      <c r="D200" s="70"/>
      <c r="E200" s="70"/>
      <c r="F200" s="70"/>
      <c r="G200" s="70"/>
      <c r="H200" s="129">
        <f>G200*Listas!$I$3</f>
        <v>0</v>
      </c>
    </row>
  </sheetData>
  <mergeCells count="2">
    <mergeCell ref="B2:I2"/>
    <mergeCell ref="K3:M3"/>
  </mergeCells>
  <conditionalFormatting sqref="L17">
    <cfRule type="cellIs" dxfId="3" priority="2" operator="greaterThan">
      <formula>0.05</formula>
    </cfRule>
  </conditionalFormatting>
  <conditionalFormatting sqref="M17">
    <cfRule type="cellIs" dxfId="2" priority="1" operator="equal">
      <formula>"Ajustar usos"</formula>
    </cfRule>
  </conditionalFormatting>
  <dataValidations count="1">
    <dataValidation type="list" allowBlank="1" showInputMessage="1" showErrorMessage="1" sqref="B5:B200">
      <formula1>OFFSET($K$4, 0, 0, COUNTA($K:$K) - 1)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7"/>
  </sheetPr>
  <dimension ref="A1:M200"/>
  <sheetViews>
    <sheetView topLeftCell="C1" workbookViewId="0">
      <selection activeCell="K22" sqref="K22"/>
    </sheetView>
  </sheetViews>
  <sheetFormatPr baseColWidth="10" defaultRowHeight="15" x14ac:dyDescent="0.25"/>
  <cols>
    <col min="1" max="1" width="5.7109375" style="166" customWidth="1"/>
    <col min="2" max="3" width="27.28515625" style="166" customWidth="1"/>
    <col min="4" max="5" width="18.42578125" style="166" customWidth="1"/>
    <col min="6" max="6" width="10.140625" style="166" customWidth="1"/>
    <col min="7" max="7" width="13.140625" style="166" customWidth="1"/>
    <col min="8" max="8" width="15.140625" style="166" customWidth="1"/>
    <col min="9" max="9" width="17.28515625" style="166" customWidth="1"/>
    <col min="10" max="10" width="11.42578125" style="166"/>
    <col min="11" max="11" width="35.85546875" style="166" customWidth="1"/>
    <col min="12" max="12" width="14.5703125" style="166" customWidth="1"/>
    <col min="13" max="13" width="17.5703125" style="166" customWidth="1"/>
    <col min="14" max="16384" width="11.42578125" style="166"/>
  </cols>
  <sheetData>
    <row r="1" spans="1:13" ht="15.75" thickBot="1" x14ac:dyDescent="0.3"/>
    <row r="2" spans="1:13" ht="27.75" customHeight="1" thickBot="1" x14ac:dyDescent="0.3">
      <c r="B2" s="422" t="s">
        <v>340</v>
      </c>
      <c r="C2" s="423"/>
      <c r="D2" s="423"/>
      <c r="E2" s="423"/>
      <c r="F2" s="423"/>
      <c r="G2" s="423"/>
      <c r="H2" s="423"/>
      <c r="I2" s="424"/>
    </row>
    <row r="3" spans="1:13" ht="15.75" x14ac:dyDescent="0.25">
      <c r="A3" s="6"/>
      <c r="B3" s="1"/>
      <c r="C3" s="1"/>
      <c r="D3" s="1"/>
      <c r="E3" s="1"/>
      <c r="F3" s="1"/>
      <c r="G3" s="1"/>
      <c r="H3" s="1"/>
      <c r="K3" s="415" t="s">
        <v>207</v>
      </c>
      <c r="L3" s="415"/>
      <c r="M3" s="415"/>
    </row>
    <row r="4" spans="1:13" ht="38.25" x14ac:dyDescent="0.25">
      <c r="B4" s="168" t="s">
        <v>179</v>
      </c>
      <c r="C4" s="168" t="s">
        <v>178</v>
      </c>
      <c r="D4" s="168" t="s">
        <v>247</v>
      </c>
      <c r="E4" s="168" t="s">
        <v>338</v>
      </c>
      <c r="F4" s="168" t="s">
        <v>197</v>
      </c>
      <c r="G4" s="168" t="s">
        <v>344</v>
      </c>
      <c r="H4" s="168" t="s">
        <v>66</v>
      </c>
      <c r="I4" s="119" t="s">
        <v>173</v>
      </c>
      <c r="K4" s="284" t="s">
        <v>188</v>
      </c>
      <c r="L4" s="284" t="s">
        <v>208</v>
      </c>
      <c r="M4" s="119" t="s">
        <v>209</v>
      </c>
    </row>
    <row r="5" spans="1:13" x14ac:dyDescent="0.25">
      <c r="B5" s="70" t="s">
        <v>516</v>
      </c>
      <c r="C5" s="70" t="s">
        <v>348</v>
      </c>
      <c r="D5" s="70"/>
      <c r="E5" s="70"/>
      <c r="F5" s="70">
        <v>1</v>
      </c>
      <c r="G5" s="70">
        <v>1000</v>
      </c>
      <c r="H5" s="129">
        <f>G5*Listas!$I$4</f>
        <v>10640</v>
      </c>
      <c r="K5" s="125" t="s">
        <v>189</v>
      </c>
      <c r="L5" s="126">
        <f>SUMIF(B:B,K5,H:H)</f>
        <v>0</v>
      </c>
      <c r="M5" s="127">
        <f>L5*'Diesel '!$E$22</f>
        <v>0</v>
      </c>
    </row>
    <row r="6" spans="1:13" x14ac:dyDescent="0.25">
      <c r="B6" s="70" t="s">
        <v>534</v>
      </c>
      <c r="C6" s="70" t="s">
        <v>341</v>
      </c>
      <c r="D6" s="70"/>
      <c r="E6" s="70"/>
      <c r="F6" s="70">
        <v>1</v>
      </c>
      <c r="G6" s="70">
        <v>200</v>
      </c>
      <c r="H6" s="129">
        <f>G6*Listas!$I$4</f>
        <v>2128</v>
      </c>
      <c r="K6" s="125" t="s">
        <v>488</v>
      </c>
      <c r="L6" s="126">
        <f t="shared" ref="L6:L15" si="0">SUMIF(B:B,K6,H:H)</f>
        <v>0</v>
      </c>
      <c r="M6" s="127">
        <f>L6*'Diesel '!$E$22</f>
        <v>0</v>
      </c>
    </row>
    <row r="7" spans="1:13" x14ac:dyDescent="0.25">
      <c r="B7" s="70" t="s">
        <v>594</v>
      </c>
      <c r="C7" s="70" t="s">
        <v>349</v>
      </c>
      <c r="D7" s="70"/>
      <c r="E7" s="70"/>
      <c r="F7" s="70">
        <v>2</v>
      </c>
      <c r="G7" s="70">
        <v>3000</v>
      </c>
      <c r="H7" s="129">
        <f>G7*Listas!$I$4</f>
        <v>31920</v>
      </c>
      <c r="K7" s="125" t="s">
        <v>509</v>
      </c>
      <c r="L7" s="126">
        <f t="shared" si="0"/>
        <v>159.60000000000002</v>
      </c>
      <c r="M7" s="127">
        <f>L7*'Diesel '!$E$22</f>
        <v>9750.0000000000018</v>
      </c>
    </row>
    <row r="8" spans="1:13" x14ac:dyDescent="0.25">
      <c r="B8" s="70" t="s">
        <v>534</v>
      </c>
      <c r="C8" s="70" t="s">
        <v>342</v>
      </c>
      <c r="D8" s="70"/>
      <c r="E8" s="70"/>
      <c r="F8" s="70">
        <v>5</v>
      </c>
      <c r="G8" s="70">
        <v>33000</v>
      </c>
      <c r="H8" s="129">
        <f>G8*Listas!$I$4</f>
        <v>351120</v>
      </c>
      <c r="K8" s="125" t="s">
        <v>516</v>
      </c>
      <c r="L8" s="126">
        <f t="shared" si="0"/>
        <v>10640</v>
      </c>
      <c r="M8" s="127">
        <f>L8*'Diesel '!$E$22</f>
        <v>650000</v>
      </c>
    </row>
    <row r="9" spans="1:13" x14ac:dyDescent="0.25">
      <c r="B9" s="70" t="s">
        <v>534</v>
      </c>
      <c r="C9" s="70" t="s">
        <v>343</v>
      </c>
      <c r="D9" s="70"/>
      <c r="E9" s="70"/>
      <c r="F9" s="70">
        <v>10</v>
      </c>
      <c r="G9" s="70">
        <v>7000</v>
      </c>
      <c r="H9" s="129">
        <f>G9*Listas!$I$4</f>
        <v>74480</v>
      </c>
      <c r="K9" s="125" t="s">
        <v>631</v>
      </c>
      <c r="L9" s="126">
        <f t="shared" si="0"/>
        <v>0</v>
      </c>
      <c r="M9" s="127">
        <f>L9*'Diesel '!$E$22</f>
        <v>0</v>
      </c>
    </row>
    <row r="10" spans="1:13" x14ac:dyDescent="0.25">
      <c r="B10" s="70" t="s">
        <v>509</v>
      </c>
      <c r="C10" s="70" t="s">
        <v>350</v>
      </c>
      <c r="D10" s="70"/>
      <c r="E10" s="70"/>
      <c r="F10" s="70">
        <v>1</v>
      </c>
      <c r="G10" s="70">
        <v>15</v>
      </c>
      <c r="H10" s="129">
        <f>G10*Listas!$I$4</f>
        <v>159.60000000000002</v>
      </c>
      <c r="K10" s="125" t="s">
        <v>534</v>
      </c>
      <c r="L10" s="126">
        <f t="shared" si="0"/>
        <v>427728</v>
      </c>
      <c r="M10" s="127">
        <f>L10*'Diesel '!$E$22</f>
        <v>26130000</v>
      </c>
    </row>
    <row r="11" spans="1:13" x14ac:dyDescent="0.25">
      <c r="B11" s="70" t="s">
        <v>188</v>
      </c>
      <c r="C11" s="70"/>
      <c r="D11" s="70"/>
      <c r="E11" s="70"/>
      <c r="F11" s="70"/>
      <c r="G11" s="70"/>
      <c r="H11" s="129">
        <f>G11*Listas!$I$4</f>
        <v>0</v>
      </c>
      <c r="K11" s="125" t="s">
        <v>547</v>
      </c>
      <c r="L11" s="126">
        <f t="shared" si="0"/>
        <v>0</v>
      </c>
      <c r="M11" s="127">
        <f>L11*'Diesel '!$E$22</f>
        <v>0</v>
      </c>
    </row>
    <row r="12" spans="1:13" x14ac:dyDescent="0.25">
      <c r="B12" s="70" t="s">
        <v>188</v>
      </c>
      <c r="C12" s="70"/>
      <c r="D12" s="70"/>
      <c r="E12" s="70"/>
      <c r="F12" s="70"/>
      <c r="G12" s="70"/>
      <c r="H12" s="129">
        <f>G12*Listas!$I$4</f>
        <v>0</v>
      </c>
      <c r="K12" s="125" t="s">
        <v>563</v>
      </c>
      <c r="L12" s="126">
        <f t="shared" si="0"/>
        <v>0</v>
      </c>
      <c r="M12" s="127">
        <f>L12*'Diesel '!$E$22</f>
        <v>0</v>
      </c>
    </row>
    <row r="13" spans="1:13" x14ac:dyDescent="0.25">
      <c r="B13" s="70" t="s">
        <v>188</v>
      </c>
      <c r="C13" s="70"/>
      <c r="D13" s="70"/>
      <c r="E13" s="70"/>
      <c r="F13" s="70"/>
      <c r="G13" s="70"/>
      <c r="H13" s="129">
        <f>G13*Listas!$I$4</f>
        <v>0</v>
      </c>
      <c r="K13" s="125" t="s">
        <v>575</v>
      </c>
      <c r="L13" s="126">
        <f t="shared" si="0"/>
        <v>0</v>
      </c>
      <c r="M13" s="127">
        <f>L13*'Diesel '!$E$22</f>
        <v>0</v>
      </c>
    </row>
    <row r="14" spans="1:13" x14ac:dyDescent="0.25">
      <c r="B14" s="70" t="s">
        <v>188</v>
      </c>
      <c r="C14" s="70"/>
      <c r="D14" s="70"/>
      <c r="E14" s="70"/>
      <c r="F14" s="70"/>
      <c r="G14" s="70"/>
      <c r="H14" s="129">
        <f>G14*Listas!$I$4</f>
        <v>0</v>
      </c>
      <c r="K14" s="125" t="s">
        <v>594</v>
      </c>
      <c r="L14" s="126">
        <f t="shared" si="0"/>
        <v>31920</v>
      </c>
      <c r="M14" s="127">
        <f>L14*'Diesel '!$E$22</f>
        <v>1950000</v>
      </c>
    </row>
    <row r="15" spans="1:13" x14ac:dyDescent="0.25">
      <c r="B15" s="70" t="s">
        <v>188</v>
      </c>
      <c r="C15" s="70"/>
      <c r="D15" s="70"/>
      <c r="E15" s="70"/>
      <c r="F15" s="70"/>
      <c r="G15" s="70"/>
      <c r="H15" s="129">
        <f>G15*Listas!$I$4</f>
        <v>0</v>
      </c>
      <c r="K15" s="125" t="s">
        <v>240</v>
      </c>
      <c r="L15" s="126">
        <f t="shared" si="0"/>
        <v>0</v>
      </c>
      <c r="M15" s="127">
        <f>L15*'Diesel '!$E$22</f>
        <v>0</v>
      </c>
    </row>
    <row r="16" spans="1:13" x14ac:dyDescent="0.25">
      <c r="B16" s="70" t="s">
        <v>188</v>
      </c>
      <c r="C16" s="70"/>
      <c r="D16" s="70"/>
      <c r="E16" s="70"/>
      <c r="F16" s="70"/>
      <c r="G16" s="70"/>
      <c r="H16" s="129">
        <f>G16*Listas!$I$4</f>
        <v>0</v>
      </c>
    </row>
    <row r="17" spans="2:13" x14ac:dyDescent="0.25">
      <c r="B17" s="70" t="s">
        <v>188</v>
      </c>
      <c r="C17" s="70"/>
      <c r="D17" s="70"/>
      <c r="E17" s="70"/>
      <c r="F17" s="70"/>
      <c r="G17" s="70"/>
      <c r="H17" s="129">
        <f>G17*Listas!$I$4</f>
        <v>0</v>
      </c>
      <c r="K17" s="283" t="s">
        <v>392</v>
      </c>
      <c r="L17" s="317">
        <f>ABS(('Diesel '!D21-SUM(L5:L15))/'Diesel '!D21)</f>
        <v>1.7444444444444492E-2</v>
      </c>
      <c r="M17" s="174" t="str">
        <f>IF(L17&gt;5%,"Ajustar usos","")</f>
        <v/>
      </c>
    </row>
    <row r="18" spans="2:13" x14ac:dyDescent="0.25">
      <c r="B18" s="70" t="s">
        <v>188</v>
      </c>
      <c r="C18" s="70"/>
      <c r="D18" s="70"/>
      <c r="E18" s="70"/>
      <c r="F18" s="70"/>
      <c r="G18" s="70"/>
      <c r="H18" s="129">
        <f>G18*Listas!$I$4</f>
        <v>0</v>
      </c>
    </row>
    <row r="19" spans="2:13" x14ac:dyDescent="0.25">
      <c r="B19" s="70" t="s">
        <v>188</v>
      </c>
      <c r="C19" s="70"/>
      <c r="D19" s="70"/>
      <c r="E19" s="70"/>
      <c r="F19" s="70"/>
      <c r="G19" s="70"/>
      <c r="H19" s="129">
        <f>G19*Listas!$I$4</f>
        <v>0</v>
      </c>
    </row>
    <row r="20" spans="2:13" x14ac:dyDescent="0.25">
      <c r="B20" s="70" t="s">
        <v>188</v>
      </c>
      <c r="C20" s="70"/>
      <c r="D20" s="70"/>
      <c r="E20" s="70"/>
      <c r="F20" s="70"/>
      <c r="G20" s="70"/>
      <c r="H20" s="129">
        <f>G20*Listas!$I$4</f>
        <v>0</v>
      </c>
    </row>
    <row r="21" spans="2:13" x14ac:dyDescent="0.25">
      <c r="B21" s="70" t="s">
        <v>188</v>
      </c>
      <c r="C21" s="70"/>
      <c r="D21" s="70"/>
      <c r="E21" s="70"/>
      <c r="F21" s="70"/>
      <c r="G21" s="70"/>
      <c r="H21" s="129">
        <f>G21*Listas!$I$4</f>
        <v>0</v>
      </c>
    </row>
    <row r="22" spans="2:13" x14ac:dyDescent="0.25">
      <c r="B22" s="70" t="s">
        <v>188</v>
      </c>
      <c r="C22" s="70"/>
      <c r="D22" s="70"/>
      <c r="E22" s="70"/>
      <c r="F22" s="70"/>
      <c r="G22" s="70"/>
      <c r="H22" s="129">
        <f>G22*Listas!$I$4</f>
        <v>0</v>
      </c>
    </row>
    <row r="23" spans="2:13" x14ac:dyDescent="0.25">
      <c r="B23" s="70" t="s">
        <v>188</v>
      </c>
      <c r="C23" s="70"/>
      <c r="D23" s="70"/>
      <c r="E23" s="70"/>
      <c r="F23" s="70"/>
      <c r="G23" s="70"/>
      <c r="H23" s="129">
        <f>G23*Listas!$I$4</f>
        <v>0</v>
      </c>
    </row>
    <row r="24" spans="2:13" x14ac:dyDescent="0.25">
      <c r="B24" s="70" t="s">
        <v>188</v>
      </c>
      <c r="C24" s="70"/>
      <c r="D24" s="70"/>
      <c r="E24" s="70"/>
      <c r="F24" s="70"/>
      <c r="G24" s="70"/>
      <c r="H24" s="129">
        <f>G24*Listas!$I$4</f>
        <v>0</v>
      </c>
    </row>
    <row r="25" spans="2:13" x14ac:dyDescent="0.25">
      <c r="B25" s="70" t="s">
        <v>188</v>
      </c>
      <c r="C25" s="70"/>
      <c r="D25" s="70"/>
      <c r="E25" s="70"/>
      <c r="F25" s="70"/>
      <c r="G25" s="70"/>
      <c r="H25" s="129">
        <f>G25*Listas!$I$4</f>
        <v>0</v>
      </c>
    </row>
    <row r="26" spans="2:13" x14ac:dyDescent="0.25">
      <c r="B26" s="70" t="s">
        <v>188</v>
      </c>
      <c r="C26" s="70"/>
      <c r="D26" s="70"/>
      <c r="E26" s="70"/>
      <c r="F26" s="70"/>
      <c r="G26" s="70"/>
      <c r="H26" s="129">
        <f>G26*Listas!$I$4</f>
        <v>0</v>
      </c>
    </row>
    <row r="27" spans="2:13" x14ac:dyDescent="0.25">
      <c r="B27" s="70" t="s">
        <v>188</v>
      </c>
      <c r="C27" s="70"/>
      <c r="D27" s="70"/>
      <c r="E27" s="70"/>
      <c r="F27" s="70"/>
      <c r="G27" s="70"/>
      <c r="H27" s="129">
        <f>G27*Listas!$I$4</f>
        <v>0</v>
      </c>
    </row>
    <row r="28" spans="2:13" x14ac:dyDescent="0.25">
      <c r="B28" s="70" t="s">
        <v>188</v>
      </c>
      <c r="C28" s="70"/>
      <c r="D28" s="70"/>
      <c r="E28" s="70"/>
      <c r="F28" s="70"/>
      <c r="G28" s="70"/>
      <c r="H28" s="129">
        <f>G28*Listas!$I$4</f>
        <v>0</v>
      </c>
    </row>
    <row r="29" spans="2:13" x14ac:dyDescent="0.25">
      <c r="B29" s="70" t="s">
        <v>188</v>
      </c>
      <c r="C29" s="70"/>
      <c r="D29" s="70"/>
      <c r="E29" s="70"/>
      <c r="F29" s="70"/>
      <c r="G29" s="70"/>
      <c r="H29" s="129">
        <f>G29*Listas!$I$4</f>
        <v>0</v>
      </c>
    </row>
    <row r="30" spans="2:13" x14ac:dyDescent="0.25">
      <c r="B30" s="70" t="s">
        <v>188</v>
      </c>
      <c r="C30" s="70"/>
      <c r="D30" s="70"/>
      <c r="E30" s="70"/>
      <c r="F30" s="70"/>
      <c r="G30" s="70"/>
      <c r="H30" s="129">
        <f>G30*Listas!$I$4</f>
        <v>0</v>
      </c>
    </row>
    <row r="31" spans="2:13" x14ac:dyDescent="0.25">
      <c r="B31" s="70" t="s">
        <v>188</v>
      </c>
      <c r="C31" s="70"/>
      <c r="D31" s="70"/>
      <c r="E31" s="70"/>
      <c r="F31" s="70"/>
      <c r="G31" s="70"/>
      <c r="H31" s="129">
        <f>G31*Listas!$I$4</f>
        <v>0</v>
      </c>
    </row>
    <row r="32" spans="2:13" x14ac:dyDescent="0.25">
      <c r="B32" s="70" t="s">
        <v>188</v>
      </c>
      <c r="C32" s="70"/>
      <c r="D32" s="70"/>
      <c r="E32" s="70"/>
      <c r="F32" s="70"/>
      <c r="G32" s="70"/>
      <c r="H32" s="129">
        <f>G32*Listas!$I$4</f>
        <v>0</v>
      </c>
    </row>
    <row r="33" spans="2:8" x14ac:dyDescent="0.25">
      <c r="B33" s="70" t="s">
        <v>188</v>
      </c>
      <c r="C33" s="70"/>
      <c r="D33" s="70"/>
      <c r="E33" s="70"/>
      <c r="F33" s="70"/>
      <c r="G33" s="70"/>
      <c r="H33" s="129">
        <f>G33*Listas!$I$4</f>
        <v>0</v>
      </c>
    </row>
    <row r="34" spans="2:8" x14ac:dyDescent="0.25">
      <c r="B34" s="70" t="s">
        <v>188</v>
      </c>
      <c r="C34" s="70"/>
      <c r="D34" s="70"/>
      <c r="E34" s="70"/>
      <c r="F34" s="70"/>
      <c r="G34" s="70"/>
      <c r="H34" s="129">
        <f>G34*Listas!$I$4</f>
        <v>0</v>
      </c>
    </row>
    <row r="35" spans="2:8" x14ac:dyDescent="0.25">
      <c r="B35" s="70" t="s">
        <v>188</v>
      </c>
      <c r="C35" s="70"/>
      <c r="D35" s="70"/>
      <c r="E35" s="70"/>
      <c r="F35" s="70"/>
      <c r="G35" s="70"/>
      <c r="H35" s="129">
        <f>G35*Listas!$I$4</f>
        <v>0</v>
      </c>
    </row>
    <row r="36" spans="2:8" x14ac:dyDescent="0.25">
      <c r="B36" s="70" t="s">
        <v>188</v>
      </c>
      <c r="C36" s="70"/>
      <c r="D36" s="70"/>
      <c r="E36" s="70"/>
      <c r="F36" s="70"/>
      <c r="G36" s="70"/>
      <c r="H36" s="129">
        <f>G36*Listas!$I$4</f>
        <v>0</v>
      </c>
    </row>
    <row r="37" spans="2:8" x14ac:dyDescent="0.25">
      <c r="B37" s="70" t="s">
        <v>188</v>
      </c>
      <c r="C37" s="70"/>
      <c r="D37" s="70"/>
      <c r="E37" s="70"/>
      <c r="F37" s="70"/>
      <c r="G37" s="70"/>
      <c r="H37" s="129">
        <f>G37*Listas!$I$4</f>
        <v>0</v>
      </c>
    </row>
    <row r="38" spans="2:8" x14ac:dyDescent="0.25">
      <c r="B38" s="70" t="s">
        <v>188</v>
      </c>
      <c r="C38" s="70"/>
      <c r="D38" s="70"/>
      <c r="E38" s="70"/>
      <c r="F38" s="70"/>
      <c r="G38" s="70"/>
      <c r="H38" s="129">
        <f>G38*Listas!$I$4</f>
        <v>0</v>
      </c>
    </row>
    <row r="39" spans="2:8" x14ac:dyDescent="0.25">
      <c r="B39" s="70" t="s">
        <v>188</v>
      </c>
      <c r="C39" s="70"/>
      <c r="D39" s="70"/>
      <c r="E39" s="70"/>
      <c r="F39" s="70"/>
      <c r="G39" s="70"/>
      <c r="H39" s="129">
        <f>G39*Listas!$I$4</f>
        <v>0</v>
      </c>
    </row>
    <row r="40" spans="2:8" x14ac:dyDescent="0.25">
      <c r="B40" s="70" t="s">
        <v>188</v>
      </c>
      <c r="C40" s="70"/>
      <c r="D40" s="70"/>
      <c r="E40" s="70"/>
      <c r="F40" s="70"/>
      <c r="G40" s="70"/>
      <c r="H40" s="129">
        <f>G40*Listas!$I$4</f>
        <v>0</v>
      </c>
    </row>
    <row r="41" spans="2:8" x14ac:dyDescent="0.25">
      <c r="B41" s="70" t="s">
        <v>188</v>
      </c>
      <c r="C41" s="70"/>
      <c r="D41" s="70"/>
      <c r="E41" s="70"/>
      <c r="F41" s="70"/>
      <c r="G41" s="70"/>
      <c r="H41" s="129">
        <f>G41*Listas!$I$4</f>
        <v>0</v>
      </c>
    </row>
    <row r="42" spans="2:8" x14ac:dyDescent="0.25">
      <c r="B42" s="70" t="s">
        <v>188</v>
      </c>
      <c r="C42" s="70"/>
      <c r="D42" s="70"/>
      <c r="E42" s="70"/>
      <c r="F42" s="70"/>
      <c r="G42" s="70"/>
      <c r="H42" s="129">
        <f>G42*Listas!$I$4</f>
        <v>0</v>
      </c>
    </row>
    <row r="43" spans="2:8" x14ac:dyDescent="0.25">
      <c r="B43" s="70" t="s">
        <v>188</v>
      </c>
      <c r="C43" s="70"/>
      <c r="D43" s="70"/>
      <c r="E43" s="70"/>
      <c r="F43" s="70"/>
      <c r="G43" s="70"/>
      <c r="H43" s="129">
        <f>G43*Listas!$I$4</f>
        <v>0</v>
      </c>
    </row>
    <row r="44" spans="2:8" x14ac:dyDescent="0.25">
      <c r="B44" s="70" t="s">
        <v>188</v>
      </c>
      <c r="C44" s="70"/>
      <c r="D44" s="70"/>
      <c r="E44" s="70"/>
      <c r="F44" s="70"/>
      <c r="G44" s="70"/>
      <c r="H44" s="129">
        <f>G44*Listas!$I$4</f>
        <v>0</v>
      </c>
    </row>
    <row r="45" spans="2:8" x14ac:dyDescent="0.25">
      <c r="B45" s="70" t="s">
        <v>188</v>
      </c>
      <c r="C45" s="70"/>
      <c r="D45" s="70"/>
      <c r="E45" s="70"/>
      <c r="F45" s="70"/>
      <c r="G45" s="70"/>
      <c r="H45" s="129">
        <f>G45*Listas!$I$4</f>
        <v>0</v>
      </c>
    </row>
    <row r="46" spans="2:8" x14ac:dyDescent="0.25">
      <c r="B46" s="70" t="s">
        <v>188</v>
      </c>
      <c r="C46" s="70"/>
      <c r="D46" s="70"/>
      <c r="E46" s="70"/>
      <c r="F46" s="70"/>
      <c r="G46" s="70"/>
      <c r="H46" s="129">
        <f>G46*Listas!$I$4</f>
        <v>0</v>
      </c>
    </row>
    <row r="47" spans="2:8" x14ac:dyDescent="0.25">
      <c r="B47" s="70" t="s">
        <v>188</v>
      </c>
      <c r="C47" s="70"/>
      <c r="D47" s="70"/>
      <c r="E47" s="70"/>
      <c r="F47" s="70"/>
      <c r="G47" s="70"/>
      <c r="H47" s="129">
        <f>G47*Listas!$I$4</f>
        <v>0</v>
      </c>
    </row>
    <row r="48" spans="2:8" x14ac:dyDescent="0.25">
      <c r="B48" s="70" t="s">
        <v>188</v>
      </c>
      <c r="C48" s="70"/>
      <c r="D48" s="70"/>
      <c r="E48" s="70"/>
      <c r="F48" s="70"/>
      <c r="G48" s="70"/>
      <c r="H48" s="129">
        <f>G48*Listas!$I$4</f>
        <v>0</v>
      </c>
    </row>
    <row r="49" spans="2:8" x14ac:dyDescent="0.25">
      <c r="B49" s="70" t="s">
        <v>188</v>
      </c>
      <c r="C49" s="70"/>
      <c r="D49" s="70"/>
      <c r="E49" s="70"/>
      <c r="F49" s="70"/>
      <c r="G49" s="70"/>
      <c r="H49" s="129">
        <f>G49*Listas!$I$4</f>
        <v>0</v>
      </c>
    </row>
    <row r="50" spans="2:8" x14ac:dyDescent="0.25">
      <c r="B50" s="70" t="s">
        <v>188</v>
      </c>
      <c r="C50" s="70"/>
      <c r="D50" s="70"/>
      <c r="E50" s="70"/>
      <c r="F50" s="70"/>
      <c r="G50" s="70"/>
      <c r="H50" s="129">
        <f>G50*Listas!$I$4</f>
        <v>0</v>
      </c>
    </row>
    <row r="51" spans="2:8" x14ac:dyDescent="0.25">
      <c r="B51" s="70" t="s">
        <v>188</v>
      </c>
      <c r="C51" s="70"/>
      <c r="D51" s="70"/>
      <c r="E51" s="70"/>
      <c r="F51" s="70"/>
      <c r="G51" s="70"/>
      <c r="H51" s="129">
        <f>G51*Listas!$I$4</f>
        <v>0</v>
      </c>
    </row>
    <row r="52" spans="2:8" x14ac:dyDescent="0.25">
      <c r="B52" s="70" t="s">
        <v>188</v>
      </c>
      <c r="C52" s="70"/>
      <c r="D52" s="70"/>
      <c r="E52" s="70"/>
      <c r="F52" s="70"/>
      <c r="G52" s="70"/>
      <c r="H52" s="129">
        <f>G52*Listas!$I$4</f>
        <v>0</v>
      </c>
    </row>
    <row r="53" spans="2:8" x14ac:dyDescent="0.25">
      <c r="B53" s="70" t="s">
        <v>188</v>
      </c>
      <c r="C53" s="70"/>
      <c r="D53" s="70"/>
      <c r="E53" s="70"/>
      <c r="F53" s="70"/>
      <c r="G53" s="70"/>
      <c r="H53" s="129">
        <f>G53*Listas!$I$4</f>
        <v>0</v>
      </c>
    </row>
    <row r="54" spans="2:8" x14ac:dyDescent="0.25">
      <c r="B54" s="70" t="s">
        <v>188</v>
      </c>
      <c r="C54" s="70"/>
      <c r="D54" s="70"/>
      <c r="E54" s="70"/>
      <c r="F54" s="70"/>
      <c r="G54" s="70"/>
      <c r="H54" s="129">
        <f>G54*Listas!$I$4</f>
        <v>0</v>
      </c>
    </row>
    <row r="55" spans="2:8" x14ac:dyDescent="0.25">
      <c r="B55" s="70" t="s">
        <v>188</v>
      </c>
      <c r="C55" s="70"/>
      <c r="D55" s="70"/>
      <c r="E55" s="70"/>
      <c r="F55" s="70"/>
      <c r="G55" s="70"/>
      <c r="H55" s="129">
        <f>G55*Listas!$I$4</f>
        <v>0</v>
      </c>
    </row>
    <row r="56" spans="2:8" x14ac:dyDescent="0.25">
      <c r="B56" s="70" t="s">
        <v>188</v>
      </c>
      <c r="C56" s="70"/>
      <c r="D56" s="70"/>
      <c r="E56" s="70"/>
      <c r="F56" s="70"/>
      <c r="G56" s="70"/>
      <c r="H56" s="129">
        <f>G56*Listas!$I$4</f>
        <v>0</v>
      </c>
    </row>
    <row r="57" spans="2:8" x14ac:dyDescent="0.25">
      <c r="B57" s="70" t="s">
        <v>188</v>
      </c>
      <c r="C57" s="70"/>
      <c r="D57" s="70"/>
      <c r="E57" s="70"/>
      <c r="F57" s="70"/>
      <c r="G57" s="70"/>
      <c r="H57" s="129">
        <f>G57*Listas!$I$4</f>
        <v>0</v>
      </c>
    </row>
    <row r="58" spans="2:8" x14ac:dyDescent="0.25">
      <c r="B58" s="70" t="s">
        <v>188</v>
      </c>
      <c r="C58" s="70"/>
      <c r="D58" s="70"/>
      <c r="E58" s="70"/>
      <c r="F58" s="70"/>
      <c r="G58" s="70"/>
      <c r="H58" s="129">
        <f>G58*Listas!$I$4</f>
        <v>0</v>
      </c>
    </row>
    <row r="59" spans="2:8" x14ac:dyDescent="0.25">
      <c r="B59" s="70" t="s">
        <v>188</v>
      </c>
      <c r="C59" s="70"/>
      <c r="D59" s="70"/>
      <c r="E59" s="70"/>
      <c r="F59" s="70"/>
      <c r="G59" s="70"/>
      <c r="H59" s="129">
        <f>G59*Listas!$I$4</f>
        <v>0</v>
      </c>
    </row>
    <row r="60" spans="2:8" x14ac:dyDescent="0.25">
      <c r="B60" s="70" t="s">
        <v>188</v>
      </c>
      <c r="C60" s="70"/>
      <c r="D60" s="70"/>
      <c r="E60" s="70"/>
      <c r="F60" s="70"/>
      <c r="G60" s="70"/>
      <c r="H60" s="129">
        <f>G60*Listas!$I$4</f>
        <v>0</v>
      </c>
    </row>
    <row r="61" spans="2:8" x14ac:dyDescent="0.25">
      <c r="B61" s="70" t="s">
        <v>188</v>
      </c>
      <c r="C61" s="70"/>
      <c r="D61" s="70"/>
      <c r="E61" s="70"/>
      <c r="F61" s="70"/>
      <c r="G61" s="70"/>
      <c r="H61" s="129">
        <f>G61*Listas!$I$4</f>
        <v>0</v>
      </c>
    </row>
    <row r="62" spans="2:8" x14ac:dyDescent="0.25">
      <c r="B62" s="70" t="s">
        <v>188</v>
      </c>
      <c r="C62" s="70"/>
      <c r="D62" s="70"/>
      <c r="E62" s="70"/>
      <c r="F62" s="70"/>
      <c r="G62" s="70"/>
      <c r="H62" s="129">
        <f>G62*Listas!$I$4</f>
        <v>0</v>
      </c>
    </row>
    <row r="63" spans="2:8" x14ac:dyDescent="0.25">
      <c r="B63" s="70" t="s">
        <v>188</v>
      </c>
      <c r="C63" s="70"/>
      <c r="D63" s="70"/>
      <c r="E63" s="70"/>
      <c r="F63" s="70"/>
      <c r="G63" s="70"/>
      <c r="H63" s="129">
        <f>G63*Listas!$I$4</f>
        <v>0</v>
      </c>
    </row>
    <row r="64" spans="2:8" x14ac:dyDescent="0.25">
      <c r="B64" s="70" t="s">
        <v>188</v>
      </c>
      <c r="C64" s="70"/>
      <c r="D64" s="70"/>
      <c r="E64" s="70"/>
      <c r="F64" s="70"/>
      <c r="G64" s="70"/>
      <c r="H64" s="129">
        <f>G64*Listas!$I$4</f>
        <v>0</v>
      </c>
    </row>
    <row r="65" spans="2:8" x14ac:dyDescent="0.25">
      <c r="B65" s="70" t="s">
        <v>188</v>
      </c>
      <c r="C65" s="70"/>
      <c r="D65" s="70"/>
      <c r="E65" s="70"/>
      <c r="F65" s="70"/>
      <c r="G65" s="70"/>
      <c r="H65" s="129">
        <f>G65*Listas!$I$4</f>
        <v>0</v>
      </c>
    </row>
    <row r="66" spans="2:8" x14ac:dyDescent="0.25">
      <c r="B66" s="70" t="s">
        <v>188</v>
      </c>
      <c r="C66" s="70"/>
      <c r="D66" s="70"/>
      <c r="E66" s="70"/>
      <c r="F66" s="70"/>
      <c r="G66" s="70"/>
      <c r="H66" s="129">
        <f>G66*Listas!$I$4</f>
        <v>0</v>
      </c>
    </row>
    <row r="67" spans="2:8" x14ac:dyDescent="0.25">
      <c r="B67" s="70" t="s">
        <v>188</v>
      </c>
      <c r="C67" s="70"/>
      <c r="D67" s="70"/>
      <c r="E67" s="70"/>
      <c r="F67" s="70"/>
      <c r="G67" s="70"/>
      <c r="H67" s="129">
        <f>G67*Listas!$I$4</f>
        <v>0</v>
      </c>
    </row>
    <row r="68" spans="2:8" x14ac:dyDescent="0.25">
      <c r="B68" s="70" t="s">
        <v>188</v>
      </c>
      <c r="C68" s="70"/>
      <c r="D68" s="70"/>
      <c r="E68" s="70"/>
      <c r="F68" s="70"/>
      <c r="G68" s="70"/>
      <c r="H68" s="129">
        <f>G68*Listas!$I$4</f>
        <v>0</v>
      </c>
    </row>
    <row r="69" spans="2:8" x14ac:dyDescent="0.25">
      <c r="B69" s="70" t="s">
        <v>188</v>
      </c>
      <c r="C69" s="70"/>
      <c r="D69" s="70"/>
      <c r="E69" s="70"/>
      <c r="F69" s="70"/>
      <c r="G69" s="70"/>
      <c r="H69" s="129">
        <f>G69*Listas!$I$4</f>
        <v>0</v>
      </c>
    </row>
    <row r="70" spans="2:8" x14ac:dyDescent="0.25">
      <c r="B70" s="70" t="s">
        <v>188</v>
      </c>
      <c r="C70" s="70"/>
      <c r="D70" s="70"/>
      <c r="E70" s="70"/>
      <c r="F70" s="70"/>
      <c r="G70" s="70"/>
      <c r="H70" s="129">
        <f>G70*Listas!$I$4</f>
        <v>0</v>
      </c>
    </row>
    <row r="71" spans="2:8" x14ac:dyDescent="0.25">
      <c r="B71" s="70" t="s">
        <v>188</v>
      </c>
      <c r="C71" s="70"/>
      <c r="D71" s="70"/>
      <c r="E71" s="70"/>
      <c r="F71" s="70"/>
      <c r="G71" s="70"/>
      <c r="H71" s="129">
        <f>G71*Listas!$I$4</f>
        <v>0</v>
      </c>
    </row>
    <row r="72" spans="2:8" x14ac:dyDescent="0.25">
      <c r="B72" s="70" t="s">
        <v>188</v>
      </c>
      <c r="C72" s="70"/>
      <c r="D72" s="70"/>
      <c r="E72" s="70"/>
      <c r="F72" s="70"/>
      <c r="G72" s="70"/>
      <c r="H72" s="129">
        <f>G72*Listas!$I$4</f>
        <v>0</v>
      </c>
    </row>
    <row r="73" spans="2:8" x14ac:dyDescent="0.25">
      <c r="B73" s="70" t="s">
        <v>188</v>
      </c>
      <c r="C73" s="70"/>
      <c r="D73" s="70"/>
      <c r="E73" s="70"/>
      <c r="F73" s="70"/>
      <c r="G73" s="70"/>
      <c r="H73" s="129">
        <f>G73*Listas!$I$4</f>
        <v>0</v>
      </c>
    </row>
    <row r="74" spans="2:8" x14ac:dyDescent="0.25">
      <c r="B74" s="70" t="s">
        <v>188</v>
      </c>
      <c r="C74" s="70"/>
      <c r="D74" s="70"/>
      <c r="E74" s="70"/>
      <c r="F74" s="70"/>
      <c r="G74" s="70"/>
      <c r="H74" s="129">
        <f>G74*Listas!$I$4</f>
        <v>0</v>
      </c>
    </row>
    <row r="75" spans="2:8" x14ac:dyDescent="0.25">
      <c r="B75" s="70" t="s">
        <v>188</v>
      </c>
      <c r="C75" s="70"/>
      <c r="D75" s="70"/>
      <c r="E75" s="70"/>
      <c r="F75" s="70"/>
      <c r="G75" s="70"/>
      <c r="H75" s="129">
        <f>G75*Listas!$I$4</f>
        <v>0</v>
      </c>
    </row>
    <row r="76" spans="2:8" x14ac:dyDescent="0.25">
      <c r="B76" s="70" t="s">
        <v>188</v>
      </c>
      <c r="C76" s="70"/>
      <c r="D76" s="70"/>
      <c r="E76" s="70"/>
      <c r="F76" s="70"/>
      <c r="G76" s="70"/>
      <c r="H76" s="129">
        <f>G76*Listas!$I$4</f>
        <v>0</v>
      </c>
    </row>
    <row r="77" spans="2:8" x14ac:dyDescent="0.25">
      <c r="B77" s="70" t="s">
        <v>188</v>
      </c>
      <c r="C77" s="70"/>
      <c r="D77" s="70"/>
      <c r="E77" s="70"/>
      <c r="F77" s="70"/>
      <c r="G77" s="70"/>
      <c r="H77" s="129">
        <f>G77*Listas!$I$4</f>
        <v>0</v>
      </c>
    </row>
    <row r="78" spans="2:8" x14ac:dyDescent="0.25">
      <c r="B78" s="70" t="s">
        <v>188</v>
      </c>
      <c r="C78" s="70"/>
      <c r="D78" s="70"/>
      <c r="E78" s="70"/>
      <c r="F78" s="70"/>
      <c r="G78" s="70"/>
      <c r="H78" s="129">
        <f>G78*Listas!$I$4</f>
        <v>0</v>
      </c>
    </row>
    <row r="79" spans="2:8" x14ac:dyDescent="0.25">
      <c r="B79" s="70" t="s">
        <v>188</v>
      </c>
      <c r="C79" s="70"/>
      <c r="D79" s="70"/>
      <c r="E79" s="70"/>
      <c r="F79" s="70"/>
      <c r="G79" s="70"/>
      <c r="H79" s="129">
        <f>G79*Listas!$I$4</f>
        <v>0</v>
      </c>
    </row>
    <row r="80" spans="2:8" x14ac:dyDescent="0.25">
      <c r="B80" s="70" t="s">
        <v>188</v>
      </c>
      <c r="C80" s="70"/>
      <c r="D80" s="70"/>
      <c r="E80" s="70"/>
      <c r="F80" s="70"/>
      <c r="G80" s="70"/>
      <c r="H80" s="129">
        <f>G80*Listas!$I$4</f>
        <v>0</v>
      </c>
    </row>
    <row r="81" spans="2:8" x14ac:dyDescent="0.25">
      <c r="B81" s="70" t="s">
        <v>188</v>
      </c>
      <c r="C81" s="70"/>
      <c r="D81" s="70"/>
      <c r="E81" s="70"/>
      <c r="F81" s="70"/>
      <c r="G81" s="70"/>
      <c r="H81" s="129">
        <f>G81*Listas!$I$4</f>
        <v>0</v>
      </c>
    </row>
    <row r="82" spans="2:8" x14ac:dyDescent="0.25">
      <c r="B82" s="70" t="s">
        <v>188</v>
      </c>
      <c r="C82" s="70"/>
      <c r="D82" s="70"/>
      <c r="E82" s="70"/>
      <c r="F82" s="70"/>
      <c r="G82" s="70"/>
      <c r="H82" s="129">
        <f>G82*Listas!$I$4</f>
        <v>0</v>
      </c>
    </row>
    <row r="83" spans="2:8" x14ac:dyDescent="0.25">
      <c r="B83" s="70" t="s">
        <v>188</v>
      </c>
      <c r="C83" s="70"/>
      <c r="D83" s="70"/>
      <c r="E83" s="70"/>
      <c r="F83" s="70"/>
      <c r="G83" s="70"/>
      <c r="H83" s="129">
        <f>G83*Listas!$I$4</f>
        <v>0</v>
      </c>
    </row>
    <row r="84" spans="2:8" x14ac:dyDescent="0.25">
      <c r="B84" s="70" t="s">
        <v>188</v>
      </c>
      <c r="C84" s="70"/>
      <c r="D84" s="70"/>
      <c r="E84" s="70"/>
      <c r="F84" s="70"/>
      <c r="G84" s="70"/>
      <c r="H84" s="129">
        <f>G84*Listas!$I$4</f>
        <v>0</v>
      </c>
    </row>
    <row r="85" spans="2:8" x14ac:dyDescent="0.25">
      <c r="B85" s="70" t="s">
        <v>188</v>
      </c>
      <c r="C85" s="70"/>
      <c r="D85" s="70"/>
      <c r="E85" s="70"/>
      <c r="F85" s="70"/>
      <c r="G85" s="70"/>
      <c r="H85" s="129">
        <f>G85*Listas!$I$4</f>
        <v>0</v>
      </c>
    </row>
    <row r="86" spans="2:8" x14ac:dyDescent="0.25">
      <c r="B86" s="70" t="s">
        <v>188</v>
      </c>
      <c r="C86" s="70"/>
      <c r="D86" s="70"/>
      <c r="E86" s="70"/>
      <c r="F86" s="70"/>
      <c r="G86" s="70"/>
      <c r="H86" s="129">
        <f>G86*Listas!$I$4</f>
        <v>0</v>
      </c>
    </row>
    <row r="87" spans="2:8" x14ac:dyDescent="0.25">
      <c r="B87" s="70" t="s">
        <v>188</v>
      </c>
      <c r="C87" s="70"/>
      <c r="D87" s="70"/>
      <c r="E87" s="70"/>
      <c r="F87" s="70"/>
      <c r="G87" s="70"/>
      <c r="H87" s="129">
        <f>G87*Listas!$I$4</f>
        <v>0</v>
      </c>
    </row>
    <row r="88" spans="2:8" x14ac:dyDescent="0.25">
      <c r="B88" s="70" t="s">
        <v>188</v>
      </c>
      <c r="C88" s="70"/>
      <c r="D88" s="70"/>
      <c r="E88" s="70"/>
      <c r="F88" s="70"/>
      <c r="G88" s="70"/>
      <c r="H88" s="129">
        <f>G88*Listas!$I$4</f>
        <v>0</v>
      </c>
    </row>
    <row r="89" spans="2:8" x14ac:dyDescent="0.25">
      <c r="B89" s="70" t="s">
        <v>188</v>
      </c>
      <c r="C89" s="70"/>
      <c r="D89" s="70"/>
      <c r="E89" s="70"/>
      <c r="F89" s="70"/>
      <c r="G89" s="70"/>
      <c r="H89" s="129">
        <f>G89*Listas!$I$4</f>
        <v>0</v>
      </c>
    </row>
    <row r="90" spans="2:8" x14ac:dyDescent="0.25">
      <c r="B90" s="70" t="s">
        <v>188</v>
      </c>
      <c r="C90" s="70"/>
      <c r="D90" s="70"/>
      <c r="E90" s="70"/>
      <c r="F90" s="70"/>
      <c r="G90" s="70"/>
      <c r="H90" s="129">
        <f>G90*Listas!$I$4</f>
        <v>0</v>
      </c>
    </row>
    <row r="91" spans="2:8" x14ac:dyDescent="0.25">
      <c r="B91" s="70" t="s">
        <v>188</v>
      </c>
      <c r="C91" s="70"/>
      <c r="D91" s="70"/>
      <c r="E91" s="70"/>
      <c r="F91" s="70"/>
      <c r="G91" s="70"/>
      <c r="H91" s="129">
        <f>G91*Listas!$I$4</f>
        <v>0</v>
      </c>
    </row>
    <row r="92" spans="2:8" x14ac:dyDescent="0.25">
      <c r="B92" s="70" t="s">
        <v>188</v>
      </c>
      <c r="C92" s="70"/>
      <c r="D92" s="70"/>
      <c r="E92" s="70"/>
      <c r="F92" s="70"/>
      <c r="G92" s="70"/>
      <c r="H92" s="129">
        <f>G92*Listas!$I$4</f>
        <v>0</v>
      </c>
    </row>
    <row r="93" spans="2:8" x14ac:dyDescent="0.25">
      <c r="B93" s="70" t="s">
        <v>188</v>
      </c>
      <c r="C93" s="70"/>
      <c r="D93" s="70"/>
      <c r="E93" s="70"/>
      <c r="F93" s="70"/>
      <c r="G93" s="70"/>
      <c r="H93" s="129">
        <f>G93*Listas!$I$4</f>
        <v>0</v>
      </c>
    </row>
    <row r="94" spans="2:8" x14ac:dyDescent="0.25">
      <c r="B94" s="70" t="s">
        <v>188</v>
      </c>
      <c r="C94" s="70"/>
      <c r="D94" s="70"/>
      <c r="E94" s="70"/>
      <c r="F94" s="70"/>
      <c r="G94" s="70"/>
      <c r="H94" s="129">
        <f>G94*Listas!$I$4</f>
        <v>0</v>
      </c>
    </row>
    <row r="95" spans="2:8" x14ac:dyDescent="0.25">
      <c r="B95" s="70" t="s">
        <v>188</v>
      </c>
      <c r="C95" s="70"/>
      <c r="D95" s="70"/>
      <c r="E95" s="70"/>
      <c r="F95" s="70"/>
      <c r="G95" s="70"/>
      <c r="H95" s="129">
        <f>G95*Listas!$I$4</f>
        <v>0</v>
      </c>
    </row>
    <row r="96" spans="2:8" x14ac:dyDescent="0.25">
      <c r="B96" s="70" t="s">
        <v>188</v>
      </c>
      <c r="C96" s="70"/>
      <c r="D96" s="70"/>
      <c r="E96" s="70"/>
      <c r="F96" s="70"/>
      <c r="G96" s="70"/>
      <c r="H96" s="129">
        <f>G96*Listas!$I$4</f>
        <v>0</v>
      </c>
    </row>
    <row r="97" spans="2:8" x14ac:dyDescent="0.25">
      <c r="B97" s="70" t="s">
        <v>188</v>
      </c>
      <c r="C97" s="70"/>
      <c r="D97" s="70"/>
      <c r="E97" s="70"/>
      <c r="F97" s="70"/>
      <c r="G97" s="70"/>
      <c r="H97" s="129">
        <f>G97*Listas!$I$4</f>
        <v>0</v>
      </c>
    </row>
    <row r="98" spans="2:8" x14ac:dyDescent="0.25">
      <c r="B98" s="70" t="s">
        <v>188</v>
      </c>
      <c r="C98" s="70"/>
      <c r="D98" s="70"/>
      <c r="E98" s="70"/>
      <c r="F98" s="70"/>
      <c r="G98" s="70"/>
      <c r="H98" s="129">
        <f>G98*Listas!$I$4</f>
        <v>0</v>
      </c>
    </row>
    <row r="99" spans="2:8" x14ac:dyDescent="0.25">
      <c r="B99" s="70" t="s">
        <v>188</v>
      </c>
      <c r="C99" s="70"/>
      <c r="D99" s="70"/>
      <c r="E99" s="70"/>
      <c r="F99" s="70"/>
      <c r="G99" s="70"/>
      <c r="H99" s="129">
        <f>G99*Listas!$I$4</f>
        <v>0</v>
      </c>
    </row>
    <row r="100" spans="2:8" x14ac:dyDescent="0.25">
      <c r="B100" s="70" t="s">
        <v>188</v>
      </c>
      <c r="C100" s="70"/>
      <c r="D100" s="70"/>
      <c r="E100" s="70"/>
      <c r="F100" s="70"/>
      <c r="G100" s="70"/>
      <c r="H100" s="129">
        <f>G100*Listas!$I$4</f>
        <v>0</v>
      </c>
    </row>
    <row r="101" spans="2:8" x14ac:dyDescent="0.25">
      <c r="B101" s="70" t="s">
        <v>188</v>
      </c>
      <c r="C101" s="70"/>
      <c r="D101" s="70"/>
      <c r="E101" s="70"/>
      <c r="F101" s="70"/>
      <c r="G101" s="70"/>
      <c r="H101" s="129">
        <f>G101*Listas!$I$4</f>
        <v>0</v>
      </c>
    </row>
    <row r="102" spans="2:8" x14ac:dyDescent="0.25">
      <c r="B102" s="70" t="s">
        <v>188</v>
      </c>
      <c r="C102" s="70"/>
      <c r="D102" s="70"/>
      <c r="E102" s="70"/>
      <c r="F102" s="70"/>
      <c r="G102" s="70"/>
      <c r="H102" s="129">
        <f>G102*Listas!$I$4</f>
        <v>0</v>
      </c>
    </row>
    <row r="103" spans="2:8" x14ac:dyDescent="0.25">
      <c r="B103" s="70" t="s">
        <v>188</v>
      </c>
      <c r="C103" s="70"/>
      <c r="D103" s="70"/>
      <c r="E103" s="70"/>
      <c r="F103" s="70"/>
      <c r="G103" s="70"/>
      <c r="H103" s="129">
        <f>G103*Listas!$I$4</f>
        <v>0</v>
      </c>
    </row>
    <row r="104" spans="2:8" x14ac:dyDescent="0.25">
      <c r="B104" s="70" t="s">
        <v>188</v>
      </c>
      <c r="C104" s="70"/>
      <c r="D104" s="70"/>
      <c r="E104" s="70"/>
      <c r="F104" s="70"/>
      <c r="G104" s="70"/>
      <c r="H104" s="129">
        <f>G104*Listas!$I$4</f>
        <v>0</v>
      </c>
    </row>
    <row r="105" spans="2:8" x14ac:dyDescent="0.25">
      <c r="B105" s="70" t="s">
        <v>188</v>
      </c>
      <c r="C105" s="70"/>
      <c r="D105" s="70"/>
      <c r="E105" s="70"/>
      <c r="F105" s="70"/>
      <c r="G105" s="70"/>
      <c r="H105" s="129">
        <f>G105*Listas!$I$4</f>
        <v>0</v>
      </c>
    </row>
    <row r="106" spans="2:8" x14ac:dyDescent="0.25">
      <c r="B106" s="70" t="s">
        <v>188</v>
      </c>
      <c r="C106" s="70"/>
      <c r="D106" s="70"/>
      <c r="E106" s="70"/>
      <c r="F106" s="70"/>
      <c r="G106" s="70"/>
      <c r="H106" s="129">
        <f>G106*Listas!$I$4</f>
        <v>0</v>
      </c>
    </row>
    <row r="107" spans="2:8" x14ac:dyDescent="0.25">
      <c r="B107" s="70" t="s">
        <v>188</v>
      </c>
      <c r="C107" s="70"/>
      <c r="D107" s="70"/>
      <c r="E107" s="70"/>
      <c r="F107" s="70"/>
      <c r="G107" s="70"/>
      <c r="H107" s="129">
        <f>G107*Listas!$I$4</f>
        <v>0</v>
      </c>
    </row>
    <row r="108" spans="2:8" x14ac:dyDescent="0.25">
      <c r="B108" s="70" t="s">
        <v>188</v>
      </c>
      <c r="C108" s="70"/>
      <c r="D108" s="70"/>
      <c r="E108" s="70"/>
      <c r="F108" s="70"/>
      <c r="G108" s="70"/>
      <c r="H108" s="129">
        <f>G108*Listas!$I$4</f>
        <v>0</v>
      </c>
    </row>
    <row r="109" spans="2:8" x14ac:dyDescent="0.25">
      <c r="B109" s="70" t="s">
        <v>188</v>
      </c>
      <c r="C109" s="70"/>
      <c r="D109" s="70"/>
      <c r="E109" s="70"/>
      <c r="F109" s="70"/>
      <c r="G109" s="70"/>
      <c r="H109" s="129">
        <f>G109*Listas!$I$4</f>
        <v>0</v>
      </c>
    </row>
    <row r="110" spans="2:8" x14ac:dyDescent="0.25">
      <c r="B110" s="70" t="s">
        <v>188</v>
      </c>
      <c r="C110" s="70"/>
      <c r="D110" s="70"/>
      <c r="E110" s="70"/>
      <c r="F110" s="70"/>
      <c r="G110" s="70"/>
      <c r="H110" s="129">
        <f>G110*Listas!$I$4</f>
        <v>0</v>
      </c>
    </row>
    <row r="111" spans="2:8" x14ac:dyDescent="0.25">
      <c r="B111" s="70" t="s">
        <v>188</v>
      </c>
      <c r="C111" s="70"/>
      <c r="D111" s="70"/>
      <c r="E111" s="70"/>
      <c r="F111" s="70"/>
      <c r="G111" s="70"/>
      <c r="H111" s="129">
        <f>G111*Listas!$I$4</f>
        <v>0</v>
      </c>
    </row>
    <row r="112" spans="2:8" x14ac:dyDescent="0.25">
      <c r="B112" s="70" t="s">
        <v>188</v>
      </c>
      <c r="C112" s="70"/>
      <c r="D112" s="70"/>
      <c r="E112" s="70"/>
      <c r="F112" s="70"/>
      <c r="G112" s="70"/>
      <c r="H112" s="129">
        <f>G112*Listas!$I$4</f>
        <v>0</v>
      </c>
    </row>
    <row r="113" spans="2:8" x14ac:dyDescent="0.25">
      <c r="B113" s="70" t="s">
        <v>188</v>
      </c>
      <c r="C113" s="70"/>
      <c r="D113" s="70"/>
      <c r="E113" s="70"/>
      <c r="F113" s="70"/>
      <c r="G113" s="70"/>
      <c r="H113" s="129">
        <f>G113*Listas!$I$4</f>
        <v>0</v>
      </c>
    </row>
    <row r="114" spans="2:8" x14ac:dyDescent="0.25">
      <c r="B114" s="70" t="s">
        <v>188</v>
      </c>
      <c r="C114" s="70"/>
      <c r="D114" s="70"/>
      <c r="E114" s="70"/>
      <c r="F114" s="70"/>
      <c r="G114" s="70"/>
      <c r="H114" s="129">
        <f>G114*Listas!$I$4</f>
        <v>0</v>
      </c>
    </row>
    <row r="115" spans="2:8" x14ac:dyDescent="0.25">
      <c r="B115" s="70" t="s">
        <v>188</v>
      </c>
      <c r="C115" s="70"/>
      <c r="D115" s="70"/>
      <c r="E115" s="70"/>
      <c r="F115" s="70"/>
      <c r="G115" s="70"/>
      <c r="H115" s="129">
        <f>G115*Listas!$I$4</f>
        <v>0</v>
      </c>
    </row>
    <row r="116" spans="2:8" x14ac:dyDescent="0.25">
      <c r="B116" s="70" t="s">
        <v>188</v>
      </c>
      <c r="C116" s="70"/>
      <c r="D116" s="70"/>
      <c r="E116" s="70"/>
      <c r="F116" s="70"/>
      <c r="G116" s="70"/>
      <c r="H116" s="129">
        <f>G116*Listas!$I$4</f>
        <v>0</v>
      </c>
    </row>
    <row r="117" spans="2:8" x14ac:dyDescent="0.25">
      <c r="B117" s="70" t="s">
        <v>188</v>
      </c>
      <c r="C117" s="70"/>
      <c r="D117" s="70"/>
      <c r="E117" s="70"/>
      <c r="F117" s="70"/>
      <c r="G117" s="70"/>
      <c r="H117" s="129">
        <f>G117*Listas!$I$4</f>
        <v>0</v>
      </c>
    </row>
    <row r="118" spans="2:8" x14ac:dyDescent="0.25">
      <c r="B118" s="70" t="s">
        <v>188</v>
      </c>
      <c r="C118" s="70"/>
      <c r="D118" s="70"/>
      <c r="E118" s="70"/>
      <c r="F118" s="70"/>
      <c r="G118" s="70"/>
      <c r="H118" s="129">
        <f>G118*Listas!$I$4</f>
        <v>0</v>
      </c>
    </row>
    <row r="119" spans="2:8" x14ac:dyDescent="0.25">
      <c r="B119" s="70" t="s">
        <v>188</v>
      </c>
      <c r="C119" s="70"/>
      <c r="D119" s="70"/>
      <c r="E119" s="70"/>
      <c r="F119" s="70"/>
      <c r="G119" s="70"/>
      <c r="H119" s="129">
        <f>G119*Listas!$I$4</f>
        <v>0</v>
      </c>
    </row>
    <row r="120" spans="2:8" x14ac:dyDescent="0.25">
      <c r="B120" s="70" t="s">
        <v>188</v>
      </c>
      <c r="C120" s="70"/>
      <c r="D120" s="70"/>
      <c r="E120" s="70"/>
      <c r="F120" s="70"/>
      <c r="G120" s="70"/>
      <c r="H120" s="129">
        <f>G120*Listas!$I$4</f>
        <v>0</v>
      </c>
    </row>
    <row r="121" spans="2:8" x14ac:dyDescent="0.25">
      <c r="B121" s="70" t="s">
        <v>188</v>
      </c>
      <c r="C121" s="70"/>
      <c r="D121" s="70"/>
      <c r="E121" s="70"/>
      <c r="F121" s="70"/>
      <c r="G121" s="70"/>
      <c r="H121" s="129">
        <f>G121*Listas!$I$4</f>
        <v>0</v>
      </c>
    </row>
    <row r="122" spans="2:8" x14ac:dyDescent="0.25">
      <c r="B122" s="70" t="s">
        <v>188</v>
      </c>
      <c r="C122" s="70"/>
      <c r="D122" s="70"/>
      <c r="E122" s="70"/>
      <c r="F122" s="70"/>
      <c r="G122" s="70"/>
      <c r="H122" s="129">
        <f>G122*Listas!$I$4</f>
        <v>0</v>
      </c>
    </row>
    <row r="123" spans="2:8" x14ac:dyDescent="0.25">
      <c r="B123" s="70" t="s">
        <v>188</v>
      </c>
      <c r="C123" s="70"/>
      <c r="D123" s="70"/>
      <c r="E123" s="70"/>
      <c r="F123" s="70"/>
      <c r="G123" s="70"/>
      <c r="H123" s="129">
        <f>G123*Listas!$I$4</f>
        <v>0</v>
      </c>
    </row>
    <row r="124" spans="2:8" x14ac:dyDescent="0.25">
      <c r="B124" s="70" t="s">
        <v>188</v>
      </c>
      <c r="C124" s="70"/>
      <c r="D124" s="70"/>
      <c r="E124" s="70"/>
      <c r="F124" s="70"/>
      <c r="G124" s="70"/>
      <c r="H124" s="129">
        <f>G124*Listas!$I$4</f>
        <v>0</v>
      </c>
    </row>
    <row r="125" spans="2:8" x14ac:dyDescent="0.25">
      <c r="B125" s="70" t="s">
        <v>188</v>
      </c>
      <c r="C125" s="70"/>
      <c r="D125" s="70"/>
      <c r="E125" s="70"/>
      <c r="F125" s="70"/>
      <c r="G125" s="70"/>
      <c r="H125" s="129">
        <f>G125*Listas!$I$4</f>
        <v>0</v>
      </c>
    </row>
    <row r="126" spans="2:8" x14ac:dyDescent="0.25">
      <c r="B126" s="70" t="s">
        <v>188</v>
      </c>
      <c r="C126" s="70"/>
      <c r="D126" s="70"/>
      <c r="E126" s="70"/>
      <c r="F126" s="70"/>
      <c r="G126" s="70"/>
      <c r="H126" s="129">
        <f>G126*Listas!$I$4</f>
        <v>0</v>
      </c>
    </row>
    <row r="127" spans="2:8" x14ac:dyDescent="0.25">
      <c r="B127" s="70" t="s">
        <v>188</v>
      </c>
      <c r="C127" s="70"/>
      <c r="D127" s="70"/>
      <c r="E127" s="70"/>
      <c r="F127" s="70"/>
      <c r="G127" s="70"/>
      <c r="H127" s="129">
        <f>G127*Listas!$I$4</f>
        <v>0</v>
      </c>
    </row>
    <row r="128" spans="2:8" x14ac:dyDescent="0.25">
      <c r="B128" s="70" t="s">
        <v>188</v>
      </c>
      <c r="C128" s="70"/>
      <c r="D128" s="70"/>
      <c r="E128" s="70"/>
      <c r="F128" s="70"/>
      <c r="G128" s="70"/>
      <c r="H128" s="129">
        <f>G128*Listas!$I$4</f>
        <v>0</v>
      </c>
    </row>
    <row r="129" spans="2:8" x14ac:dyDescent="0.25">
      <c r="B129" s="70" t="s">
        <v>188</v>
      </c>
      <c r="C129" s="70"/>
      <c r="D129" s="70"/>
      <c r="E129" s="70"/>
      <c r="F129" s="70"/>
      <c r="G129" s="70"/>
      <c r="H129" s="129">
        <f>G129*Listas!$I$4</f>
        <v>0</v>
      </c>
    </row>
    <row r="130" spans="2:8" x14ac:dyDescent="0.25">
      <c r="B130" s="70" t="s">
        <v>188</v>
      </c>
      <c r="C130" s="70"/>
      <c r="D130" s="70"/>
      <c r="E130" s="70"/>
      <c r="F130" s="70"/>
      <c r="G130" s="70"/>
      <c r="H130" s="129">
        <f>G130*Listas!$I$4</f>
        <v>0</v>
      </c>
    </row>
    <row r="131" spans="2:8" x14ac:dyDescent="0.25">
      <c r="B131" s="70" t="s">
        <v>188</v>
      </c>
      <c r="C131" s="70"/>
      <c r="D131" s="70"/>
      <c r="E131" s="70"/>
      <c r="F131" s="70"/>
      <c r="G131" s="70"/>
      <c r="H131" s="129">
        <f>G131*Listas!$I$4</f>
        <v>0</v>
      </c>
    </row>
    <row r="132" spans="2:8" x14ac:dyDescent="0.25">
      <c r="B132" s="70" t="s">
        <v>188</v>
      </c>
      <c r="C132" s="70"/>
      <c r="D132" s="70"/>
      <c r="E132" s="70"/>
      <c r="F132" s="70"/>
      <c r="G132" s="70"/>
      <c r="H132" s="129">
        <f>G132*Listas!$I$4</f>
        <v>0</v>
      </c>
    </row>
    <row r="133" spans="2:8" x14ac:dyDescent="0.25">
      <c r="B133" s="70" t="s">
        <v>188</v>
      </c>
      <c r="C133" s="70"/>
      <c r="D133" s="70"/>
      <c r="E133" s="70"/>
      <c r="F133" s="70"/>
      <c r="G133" s="70"/>
      <c r="H133" s="129">
        <f>G133*Listas!$I$4</f>
        <v>0</v>
      </c>
    </row>
    <row r="134" spans="2:8" x14ac:dyDescent="0.25">
      <c r="B134" s="70" t="s">
        <v>188</v>
      </c>
      <c r="C134" s="70"/>
      <c r="D134" s="70"/>
      <c r="E134" s="70"/>
      <c r="F134" s="70"/>
      <c r="G134" s="70"/>
      <c r="H134" s="129">
        <f>G134*Listas!$I$4</f>
        <v>0</v>
      </c>
    </row>
    <row r="135" spans="2:8" x14ac:dyDescent="0.25">
      <c r="B135" s="70" t="s">
        <v>188</v>
      </c>
      <c r="C135" s="70"/>
      <c r="D135" s="70"/>
      <c r="E135" s="70"/>
      <c r="F135" s="70"/>
      <c r="G135" s="70"/>
      <c r="H135" s="129">
        <f>G135*Listas!$I$4</f>
        <v>0</v>
      </c>
    </row>
    <row r="136" spans="2:8" x14ac:dyDescent="0.25">
      <c r="B136" s="70" t="s">
        <v>188</v>
      </c>
      <c r="C136" s="70"/>
      <c r="D136" s="70"/>
      <c r="E136" s="70"/>
      <c r="F136" s="70"/>
      <c r="G136" s="70"/>
      <c r="H136" s="129">
        <f>G136*Listas!$I$4</f>
        <v>0</v>
      </c>
    </row>
    <row r="137" spans="2:8" x14ac:dyDescent="0.25">
      <c r="B137" s="70" t="s">
        <v>188</v>
      </c>
      <c r="C137" s="70"/>
      <c r="D137" s="70"/>
      <c r="E137" s="70"/>
      <c r="F137" s="70"/>
      <c r="G137" s="70"/>
      <c r="H137" s="129">
        <f>G137*Listas!$I$4</f>
        <v>0</v>
      </c>
    </row>
    <row r="138" spans="2:8" x14ac:dyDescent="0.25">
      <c r="B138" s="70" t="s">
        <v>188</v>
      </c>
      <c r="C138" s="70"/>
      <c r="D138" s="70"/>
      <c r="E138" s="70"/>
      <c r="F138" s="70"/>
      <c r="G138" s="70"/>
      <c r="H138" s="129">
        <f>G138*Listas!$I$4</f>
        <v>0</v>
      </c>
    </row>
    <row r="139" spans="2:8" x14ac:dyDescent="0.25">
      <c r="B139" s="70" t="s">
        <v>188</v>
      </c>
      <c r="C139" s="70"/>
      <c r="D139" s="70"/>
      <c r="E139" s="70"/>
      <c r="F139" s="70"/>
      <c r="G139" s="70"/>
      <c r="H139" s="129">
        <f>G139*Listas!$I$4</f>
        <v>0</v>
      </c>
    </row>
    <row r="140" spans="2:8" x14ac:dyDescent="0.25">
      <c r="B140" s="70" t="s">
        <v>188</v>
      </c>
      <c r="C140" s="70"/>
      <c r="D140" s="70"/>
      <c r="E140" s="70"/>
      <c r="F140" s="70"/>
      <c r="G140" s="70"/>
      <c r="H140" s="129">
        <f>G140*Listas!$I$4</f>
        <v>0</v>
      </c>
    </row>
    <row r="141" spans="2:8" x14ac:dyDescent="0.25">
      <c r="B141" s="70" t="s">
        <v>188</v>
      </c>
      <c r="C141" s="70"/>
      <c r="D141" s="70"/>
      <c r="E141" s="70"/>
      <c r="F141" s="70"/>
      <c r="G141" s="70"/>
      <c r="H141" s="129">
        <f>G141*Listas!$I$4</f>
        <v>0</v>
      </c>
    </row>
    <row r="142" spans="2:8" x14ac:dyDescent="0.25">
      <c r="B142" s="70" t="s">
        <v>188</v>
      </c>
      <c r="C142" s="70"/>
      <c r="D142" s="70"/>
      <c r="E142" s="70"/>
      <c r="F142" s="70"/>
      <c r="G142" s="70"/>
      <c r="H142" s="129">
        <f>G142*Listas!$I$4</f>
        <v>0</v>
      </c>
    </row>
    <row r="143" spans="2:8" x14ac:dyDescent="0.25">
      <c r="B143" s="70" t="s">
        <v>188</v>
      </c>
      <c r="C143" s="70"/>
      <c r="D143" s="70"/>
      <c r="E143" s="70"/>
      <c r="F143" s="70"/>
      <c r="G143" s="70"/>
      <c r="H143" s="129">
        <f>G143*Listas!$I$4</f>
        <v>0</v>
      </c>
    </row>
    <row r="144" spans="2:8" x14ac:dyDescent="0.25">
      <c r="B144" s="70" t="s">
        <v>188</v>
      </c>
      <c r="C144" s="70"/>
      <c r="D144" s="70"/>
      <c r="E144" s="70"/>
      <c r="F144" s="70"/>
      <c r="G144" s="70"/>
      <c r="H144" s="129">
        <f>G144*Listas!$I$4</f>
        <v>0</v>
      </c>
    </row>
    <row r="145" spans="2:8" x14ac:dyDescent="0.25">
      <c r="B145" s="70" t="s">
        <v>188</v>
      </c>
      <c r="C145" s="70"/>
      <c r="D145" s="70"/>
      <c r="E145" s="70"/>
      <c r="F145" s="70"/>
      <c r="G145" s="70"/>
      <c r="H145" s="129">
        <f>G145*Listas!$I$4</f>
        <v>0</v>
      </c>
    </row>
    <row r="146" spans="2:8" x14ac:dyDescent="0.25">
      <c r="B146" s="70" t="s">
        <v>188</v>
      </c>
      <c r="C146" s="70"/>
      <c r="D146" s="70"/>
      <c r="E146" s="70"/>
      <c r="F146" s="70"/>
      <c r="G146" s="70"/>
      <c r="H146" s="129">
        <f>G146*Listas!$I$4</f>
        <v>0</v>
      </c>
    </row>
    <row r="147" spans="2:8" x14ac:dyDescent="0.25">
      <c r="B147" s="70" t="s">
        <v>188</v>
      </c>
      <c r="C147" s="70"/>
      <c r="D147" s="70"/>
      <c r="E147" s="70"/>
      <c r="F147" s="70"/>
      <c r="G147" s="70"/>
      <c r="H147" s="129">
        <f>G147*Listas!$I$4</f>
        <v>0</v>
      </c>
    </row>
    <row r="148" spans="2:8" x14ac:dyDescent="0.25">
      <c r="B148" s="70" t="s">
        <v>188</v>
      </c>
      <c r="C148" s="70"/>
      <c r="D148" s="70"/>
      <c r="E148" s="70"/>
      <c r="F148" s="70"/>
      <c r="G148" s="70"/>
      <c r="H148" s="129">
        <f>G148*Listas!$I$4</f>
        <v>0</v>
      </c>
    </row>
    <row r="149" spans="2:8" x14ac:dyDescent="0.25">
      <c r="B149" s="70" t="s">
        <v>188</v>
      </c>
      <c r="C149" s="70"/>
      <c r="D149" s="70"/>
      <c r="E149" s="70"/>
      <c r="F149" s="70"/>
      <c r="G149" s="70"/>
      <c r="H149" s="129">
        <f>G149*Listas!$I$4</f>
        <v>0</v>
      </c>
    </row>
    <row r="150" spans="2:8" x14ac:dyDescent="0.25">
      <c r="B150" s="70" t="s">
        <v>188</v>
      </c>
      <c r="C150" s="70"/>
      <c r="D150" s="70"/>
      <c r="E150" s="70"/>
      <c r="F150" s="70"/>
      <c r="G150" s="70"/>
      <c r="H150" s="129">
        <f>G150*Listas!$I$4</f>
        <v>0</v>
      </c>
    </row>
    <row r="151" spans="2:8" x14ac:dyDescent="0.25">
      <c r="B151" s="70" t="s">
        <v>188</v>
      </c>
      <c r="C151" s="70"/>
      <c r="D151" s="70"/>
      <c r="E151" s="70"/>
      <c r="F151" s="70"/>
      <c r="G151" s="70"/>
      <c r="H151" s="129">
        <f>G151*Listas!$I$4</f>
        <v>0</v>
      </c>
    </row>
    <row r="152" spans="2:8" x14ac:dyDescent="0.25">
      <c r="B152" s="70" t="s">
        <v>188</v>
      </c>
      <c r="C152" s="70"/>
      <c r="D152" s="70"/>
      <c r="E152" s="70"/>
      <c r="F152" s="70"/>
      <c r="G152" s="70"/>
      <c r="H152" s="129">
        <f>G152*Listas!$I$4</f>
        <v>0</v>
      </c>
    </row>
    <row r="153" spans="2:8" x14ac:dyDescent="0.25">
      <c r="B153" s="70" t="s">
        <v>188</v>
      </c>
      <c r="C153" s="70"/>
      <c r="D153" s="70"/>
      <c r="E153" s="70"/>
      <c r="F153" s="70"/>
      <c r="G153" s="70"/>
      <c r="H153" s="129">
        <f>G153*Listas!$I$4</f>
        <v>0</v>
      </c>
    </row>
    <row r="154" spans="2:8" x14ac:dyDescent="0.25">
      <c r="B154" s="70" t="s">
        <v>188</v>
      </c>
      <c r="C154" s="70"/>
      <c r="D154" s="70"/>
      <c r="E154" s="70"/>
      <c r="F154" s="70"/>
      <c r="G154" s="70"/>
      <c r="H154" s="129">
        <f>G154*Listas!$I$4</f>
        <v>0</v>
      </c>
    </row>
    <row r="155" spans="2:8" x14ac:dyDescent="0.25">
      <c r="B155" s="70" t="s">
        <v>188</v>
      </c>
      <c r="C155" s="70"/>
      <c r="D155" s="70"/>
      <c r="E155" s="70"/>
      <c r="F155" s="70"/>
      <c r="G155" s="70"/>
      <c r="H155" s="129">
        <f>G155*Listas!$I$4</f>
        <v>0</v>
      </c>
    </row>
    <row r="156" spans="2:8" x14ac:dyDescent="0.25">
      <c r="B156" s="70" t="s">
        <v>188</v>
      </c>
      <c r="C156" s="70"/>
      <c r="D156" s="70"/>
      <c r="E156" s="70"/>
      <c r="F156" s="70"/>
      <c r="G156" s="70"/>
      <c r="H156" s="129">
        <f>G156*Listas!$I$4</f>
        <v>0</v>
      </c>
    </row>
    <row r="157" spans="2:8" x14ac:dyDescent="0.25">
      <c r="B157" s="70" t="s">
        <v>188</v>
      </c>
      <c r="C157" s="70"/>
      <c r="D157" s="70"/>
      <c r="E157" s="70"/>
      <c r="F157" s="70"/>
      <c r="G157" s="70"/>
      <c r="H157" s="129">
        <f>G157*Listas!$I$4</f>
        <v>0</v>
      </c>
    </row>
    <row r="158" spans="2:8" x14ac:dyDescent="0.25">
      <c r="B158" s="70" t="s">
        <v>188</v>
      </c>
      <c r="C158" s="70"/>
      <c r="D158" s="70"/>
      <c r="E158" s="70"/>
      <c r="F158" s="70"/>
      <c r="G158" s="70"/>
      <c r="H158" s="129">
        <f>G158*Listas!$I$4</f>
        <v>0</v>
      </c>
    </row>
    <row r="159" spans="2:8" x14ac:dyDescent="0.25">
      <c r="B159" s="70" t="s">
        <v>188</v>
      </c>
      <c r="C159" s="70"/>
      <c r="D159" s="70"/>
      <c r="E159" s="70"/>
      <c r="F159" s="70"/>
      <c r="G159" s="70"/>
      <c r="H159" s="129">
        <f>G159*Listas!$I$4</f>
        <v>0</v>
      </c>
    </row>
    <row r="160" spans="2:8" x14ac:dyDescent="0.25">
      <c r="B160" s="70" t="s">
        <v>188</v>
      </c>
      <c r="C160" s="70"/>
      <c r="D160" s="70"/>
      <c r="E160" s="70"/>
      <c r="F160" s="70"/>
      <c r="G160" s="70"/>
      <c r="H160" s="129">
        <f>G160*Listas!$I$4</f>
        <v>0</v>
      </c>
    </row>
    <row r="161" spans="2:8" x14ac:dyDescent="0.25">
      <c r="B161" s="70" t="s">
        <v>188</v>
      </c>
      <c r="C161" s="70"/>
      <c r="D161" s="70"/>
      <c r="E161" s="70"/>
      <c r="F161" s="70"/>
      <c r="G161" s="70"/>
      <c r="H161" s="129">
        <f>G161*Listas!$I$4</f>
        <v>0</v>
      </c>
    </row>
    <row r="162" spans="2:8" x14ac:dyDescent="0.25">
      <c r="B162" s="70" t="s">
        <v>188</v>
      </c>
      <c r="C162" s="70"/>
      <c r="D162" s="70"/>
      <c r="E162" s="70"/>
      <c r="F162" s="70"/>
      <c r="G162" s="70"/>
      <c r="H162" s="129">
        <f>G162*Listas!$I$4</f>
        <v>0</v>
      </c>
    </row>
    <row r="163" spans="2:8" x14ac:dyDescent="0.25">
      <c r="B163" s="70" t="s">
        <v>188</v>
      </c>
      <c r="C163" s="70"/>
      <c r="D163" s="70"/>
      <c r="E163" s="70"/>
      <c r="F163" s="70"/>
      <c r="G163" s="70"/>
      <c r="H163" s="129">
        <f>G163*Listas!$I$4</f>
        <v>0</v>
      </c>
    </row>
    <row r="164" spans="2:8" x14ac:dyDescent="0.25">
      <c r="B164" s="70" t="s">
        <v>188</v>
      </c>
      <c r="C164" s="70"/>
      <c r="D164" s="70"/>
      <c r="E164" s="70"/>
      <c r="F164" s="70"/>
      <c r="G164" s="70"/>
      <c r="H164" s="129">
        <f>G164*Listas!$I$4</f>
        <v>0</v>
      </c>
    </row>
    <row r="165" spans="2:8" x14ac:dyDescent="0.25">
      <c r="B165" s="70" t="s">
        <v>188</v>
      </c>
      <c r="C165" s="70"/>
      <c r="D165" s="70"/>
      <c r="E165" s="70"/>
      <c r="F165" s="70"/>
      <c r="G165" s="70"/>
      <c r="H165" s="129">
        <f>G165*Listas!$I$4</f>
        <v>0</v>
      </c>
    </row>
    <row r="166" spans="2:8" x14ac:dyDescent="0.25">
      <c r="B166" s="70" t="s">
        <v>188</v>
      </c>
      <c r="C166" s="70"/>
      <c r="D166" s="70"/>
      <c r="E166" s="70"/>
      <c r="F166" s="70"/>
      <c r="G166" s="70"/>
      <c r="H166" s="129">
        <f>G166*Listas!$I$4</f>
        <v>0</v>
      </c>
    </row>
    <row r="167" spans="2:8" x14ac:dyDescent="0.25">
      <c r="B167" s="70" t="s">
        <v>188</v>
      </c>
      <c r="C167" s="70"/>
      <c r="D167" s="70"/>
      <c r="E167" s="70"/>
      <c r="F167" s="70"/>
      <c r="G167" s="70"/>
      <c r="H167" s="129">
        <f>G167*Listas!$I$4</f>
        <v>0</v>
      </c>
    </row>
    <row r="168" spans="2:8" x14ac:dyDescent="0.25">
      <c r="B168" s="70" t="s">
        <v>188</v>
      </c>
      <c r="C168" s="70"/>
      <c r="D168" s="70"/>
      <c r="E168" s="70"/>
      <c r="F168" s="70"/>
      <c r="G168" s="70"/>
      <c r="H168" s="129">
        <f>G168*Listas!$I$4</f>
        <v>0</v>
      </c>
    </row>
    <row r="169" spans="2:8" x14ac:dyDescent="0.25">
      <c r="B169" s="70" t="s">
        <v>188</v>
      </c>
      <c r="C169" s="70"/>
      <c r="D169" s="70"/>
      <c r="E169" s="70"/>
      <c r="F169" s="70"/>
      <c r="G169" s="70"/>
      <c r="H169" s="129">
        <f>G169*Listas!$I$4</f>
        <v>0</v>
      </c>
    </row>
    <row r="170" spans="2:8" x14ac:dyDescent="0.25">
      <c r="B170" s="70" t="s">
        <v>188</v>
      </c>
      <c r="C170" s="70"/>
      <c r="D170" s="70"/>
      <c r="E170" s="70"/>
      <c r="F170" s="70"/>
      <c r="G170" s="70"/>
      <c r="H170" s="129">
        <f>G170*Listas!$I$4</f>
        <v>0</v>
      </c>
    </row>
    <row r="171" spans="2:8" x14ac:dyDescent="0.25">
      <c r="B171" s="70" t="s">
        <v>188</v>
      </c>
      <c r="C171" s="70"/>
      <c r="D171" s="70"/>
      <c r="E171" s="70"/>
      <c r="F171" s="70"/>
      <c r="G171" s="70"/>
      <c r="H171" s="129">
        <f>G171*Listas!$I$4</f>
        <v>0</v>
      </c>
    </row>
    <row r="172" spans="2:8" x14ac:dyDescent="0.25">
      <c r="B172" s="70" t="s">
        <v>188</v>
      </c>
      <c r="C172" s="70"/>
      <c r="D172" s="70"/>
      <c r="E172" s="70"/>
      <c r="F172" s="70"/>
      <c r="G172" s="70"/>
      <c r="H172" s="129">
        <f>G172*Listas!$I$4</f>
        <v>0</v>
      </c>
    </row>
    <row r="173" spans="2:8" x14ac:dyDescent="0.25">
      <c r="B173" s="70" t="s">
        <v>188</v>
      </c>
      <c r="C173" s="70"/>
      <c r="D173" s="70"/>
      <c r="E173" s="70"/>
      <c r="F173" s="70"/>
      <c r="G173" s="70"/>
      <c r="H173" s="129">
        <f>G173*Listas!$I$4</f>
        <v>0</v>
      </c>
    </row>
    <row r="174" spans="2:8" x14ac:dyDescent="0.25">
      <c r="B174" s="70" t="s">
        <v>188</v>
      </c>
      <c r="C174" s="70"/>
      <c r="D174" s="70"/>
      <c r="E174" s="70"/>
      <c r="F174" s="70"/>
      <c r="G174" s="70"/>
      <c r="H174" s="129">
        <f>G174*Listas!$I$4</f>
        <v>0</v>
      </c>
    </row>
    <row r="175" spans="2:8" x14ac:dyDescent="0.25">
      <c r="B175" s="70" t="s">
        <v>188</v>
      </c>
      <c r="C175" s="70"/>
      <c r="D175" s="70"/>
      <c r="E175" s="70"/>
      <c r="F175" s="70"/>
      <c r="G175" s="70"/>
      <c r="H175" s="129">
        <f>G175*Listas!$I$4</f>
        <v>0</v>
      </c>
    </row>
    <row r="176" spans="2:8" x14ac:dyDescent="0.25">
      <c r="B176" s="70" t="s">
        <v>188</v>
      </c>
      <c r="C176" s="70"/>
      <c r="D176" s="70"/>
      <c r="E176" s="70"/>
      <c r="F176" s="70"/>
      <c r="G176" s="70"/>
      <c r="H176" s="129">
        <f>G176*Listas!$I$4</f>
        <v>0</v>
      </c>
    </row>
    <row r="177" spans="2:8" x14ac:dyDescent="0.25">
      <c r="B177" s="70" t="s">
        <v>188</v>
      </c>
      <c r="C177" s="70"/>
      <c r="D177" s="70"/>
      <c r="E177" s="70"/>
      <c r="F177" s="70"/>
      <c r="G177" s="70"/>
      <c r="H177" s="129">
        <f>G177*Listas!$I$4</f>
        <v>0</v>
      </c>
    </row>
    <row r="178" spans="2:8" x14ac:dyDescent="0.25">
      <c r="B178" s="70" t="s">
        <v>188</v>
      </c>
      <c r="C178" s="70"/>
      <c r="D178" s="70"/>
      <c r="E178" s="70"/>
      <c r="F178" s="70"/>
      <c r="G178" s="70"/>
      <c r="H178" s="129">
        <f>G178*Listas!$I$4</f>
        <v>0</v>
      </c>
    </row>
    <row r="179" spans="2:8" x14ac:dyDescent="0.25">
      <c r="B179" s="70" t="s">
        <v>188</v>
      </c>
      <c r="C179" s="70"/>
      <c r="D179" s="70"/>
      <c r="E179" s="70"/>
      <c r="F179" s="70"/>
      <c r="G179" s="70"/>
      <c r="H179" s="129">
        <f>G179*Listas!$I$4</f>
        <v>0</v>
      </c>
    </row>
    <row r="180" spans="2:8" x14ac:dyDescent="0.25">
      <c r="B180" s="70" t="s">
        <v>188</v>
      </c>
      <c r="C180" s="70"/>
      <c r="D180" s="70"/>
      <c r="E180" s="70"/>
      <c r="F180" s="70"/>
      <c r="G180" s="70"/>
      <c r="H180" s="129">
        <f>G180*Listas!$I$4</f>
        <v>0</v>
      </c>
    </row>
    <row r="181" spans="2:8" x14ac:dyDescent="0.25">
      <c r="B181" s="70" t="s">
        <v>188</v>
      </c>
      <c r="C181" s="70"/>
      <c r="D181" s="70"/>
      <c r="E181" s="70"/>
      <c r="F181" s="70"/>
      <c r="G181" s="70"/>
      <c r="H181" s="129">
        <f>G181*Listas!$I$4</f>
        <v>0</v>
      </c>
    </row>
    <row r="182" spans="2:8" x14ac:dyDescent="0.25">
      <c r="B182" s="70" t="s">
        <v>188</v>
      </c>
      <c r="C182" s="70"/>
      <c r="D182" s="70"/>
      <c r="E182" s="70"/>
      <c r="F182" s="70"/>
      <c r="G182" s="70"/>
      <c r="H182" s="129">
        <f>G182*Listas!$I$4</f>
        <v>0</v>
      </c>
    </row>
    <row r="183" spans="2:8" x14ac:dyDescent="0.25">
      <c r="B183" s="70" t="s">
        <v>188</v>
      </c>
      <c r="C183" s="70"/>
      <c r="D183" s="70"/>
      <c r="E183" s="70"/>
      <c r="F183" s="70"/>
      <c r="G183" s="70"/>
      <c r="H183" s="129">
        <f>G183*Listas!$I$4</f>
        <v>0</v>
      </c>
    </row>
    <row r="184" spans="2:8" x14ac:dyDescent="0.25">
      <c r="B184" s="70" t="s">
        <v>188</v>
      </c>
      <c r="C184" s="70"/>
      <c r="D184" s="70"/>
      <c r="E184" s="70"/>
      <c r="F184" s="70"/>
      <c r="G184" s="70"/>
      <c r="H184" s="129">
        <f>G184*Listas!$I$4</f>
        <v>0</v>
      </c>
    </row>
    <row r="185" spans="2:8" x14ac:dyDescent="0.25">
      <c r="B185" s="70" t="s">
        <v>188</v>
      </c>
      <c r="C185" s="70"/>
      <c r="D185" s="70"/>
      <c r="E185" s="70"/>
      <c r="F185" s="70"/>
      <c r="G185" s="70"/>
      <c r="H185" s="129">
        <f>G185*Listas!$I$4</f>
        <v>0</v>
      </c>
    </row>
    <row r="186" spans="2:8" x14ac:dyDescent="0.25">
      <c r="B186" s="70" t="s">
        <v>188</v>
      </c>
      <c r="C186" s="70"/>
      <c r="D186" s="70"/>
      <c r="E186" s="70"/>
      <c r="F186" s="70"/>
      <c r="G186" s="70"/>
      <c r="H186" s="129">
        <f>G186*Listas!$I$4</f>
        <v>0</v>
      </c>
    </row>
    <row r="187" spans="2:8" x14ac:dyDescent="0.25">
      <c r="B187" s="70" t="s">
        <v>188</v>
      </c>
      <c r="C187" s="70"/>
      <c r="D187" s="70"/>
      <c r="E187" s="70"/>
      <c r="F187" s="70"/>
      <c r="G187" s="70"/>
      <c r="H187" s="129">
        <f>G187*Listas!$I$4</f>
        <v>0</v>
      </c>
    </row>
    <row r="188" spans="2:8" x14ac:dyDescent="0.25">
      <c r="B188" s="70" t="s">
        <v>188</v>
      </c>
      <c r="C188" s="70"/>
      <c r="D188" s="70"/>
      <c r="E188" s="70"/>
      <c r="F188" s="70"/>
      <c r="G188" s="70"/>
      <c r="H188" s="129">
        <f>G188*Listas!$I$4</f>
        <v>0</v>
      </c>
    </row>
    <row r="189" spans="2:8" x14ac:dyDescent="0.25">
      <c r="B189" s="70" t="s">
        <v>188</v>
      </c>
      <c r="C189" s="70"/>
      <c r="D189" s="70"/>
      <c r="E189" s="70"/>
      <c r="F189" s="70"/>
      <c r="G189" s="70"/>
      <c r="H189" s="129">
        <f>G189*Listas!$I$4</f>
        <v>0</v>
      </c>
    </row>
    <row r="190" spans="2:8" x14ac:dyDescent="0.25">
      <c r="B190" s="70" t="s">
        <v>188</v>
      </c>
      <c r="C190" s="70"/>
      <c r="D190" s="70"/>
      <c r="E190" s="70"/>
      <c r="F190" s="70"/>
      <c r="G190" s="70"/>
      <c r="H190" s="129">
        <f>G190*Listas!$I$4</f>
        <v>0</v>
      </c>
    </row>
    <row r="191" spans="2:8" x14ac:dyDescent="0.25">
      <c r="B191" s="70" t="s">
        <v>188</v>
      </c>
      <c r="C191" s="70"/>
      <c r="D191" s="70"/>
      <c r="E191" s="70"/>
      <c r="F191" s="70"/>
      <c r="G191" s="70"/>
      <c r="H191" s="129">
        <f>G191*Listas!$I$4</f>
        <v>0</v>
      </c>
    </row>
    <row r="192" spans="2:8" x14ac:dyDescent="0.25">
      <c r="B192" s="70" t="s">
        <v>188</v>
      </c>
      <c r="C192" s="70"/>
      <c r="D192" s="70"/>
      <c r="E192" s="70"/>
      <c r="F192" s="70"/>
      <c r="G192" s="70"/>
      <c r="H192" s="129">
        <f>G192*Listas!$I$4</f>
        <v>0</v>
      </c>
    </row>
    <row r="193" spans="2:8" x14ac:dyDescent="0.25">
      <c r="B193" s="70" t="s">
        <v>188</v>
      </c>
      <c r="C193" s="70"/>
      <c r="D193" s="70"/>
      <c r="E193" s="70"/>
      <c r="F193" s="70"/>
      <c r="G193" s="70"/>
      <c r="H193" s="129">
        <f>G193*Listas!$I$4</f>
        <v>0</v>
      </c>
    </row>
    <row r="194" spans="2:8" x14ac:dyDescent="0.25">
      <c r="B194" s="70" t="s">
        <v>188</v>
      </c>
      <c r="C194" s="70"/>
      <c r="D194" s="70"/>
      <c r="E194" s="70"/>
      <c r="F194" s="70"/>
      <c r="G194" s="70"/>
      <c r="H194" s="129">
        <f>G194*Listas!$I$4</f>
        <v>0</v>
      </c>
    </row>
    <row r="195" spans="2:8" x14ac:dyDescent="0.25">
      <c r="B195" s="70" t="s">
        <v>188</v>
      </c>
      <c r="C195" s="70"/>
      <c r="D195" s="70"/>
      <c r="E195" s="70"/>
      <c r="F195" s="70"/>
      <c r="G195" s="70"/>
      <c r="H195" s="129">
        <f>G195*Listas!$I$4</f>
        <v>0</v>
      </c>
    </row>
    <row r="196" spans="2:8" x14ac:dyDescent="0.25">
      <c r="B196" s="70" t="s">
        <v>188</v>
      </c>
      <c r="C196" s="70"/>
      <c r="D196" s="70"/>
      <c r="E196" s="70"/>
      <c r="F196" s="70"/>
      <c r="G196" s="70"/>
      <c r="H196" s="129">
        <f>G196*Listas!$I$4</f>
        <v>0</v>
      </c>
    </row>
    <row r="197" spans="2:8" x14ac:dyDescent="0.25">
      <c r="B197" s="70" t="s">
        <v>188</v>
      </c>
      <c r="C197" s="70"/>
      <c r="D197" s="70"/>
      <c r="E197" s="70"/>
      <c r="F197" s="70"/>
      <c r="G197" s="70"/>
      <c r="H197" s="129">
        <f>G197*Listas!$I$4</f>
        <v>0</v>
      </c>
    </row>
    <row r="198" spans="2:8" x14ac:dyDescent="0.25">
      <c r="B198" s="70" t="s">
        <v>188</v>
      </c>
      <c r="C198" s="70"/>
      <c r="D198" s="70"/>
      <c r="E198" s="70"/>
      <c r="F198" s="70"/>
      <c r="G198" s="70"/>
      <c r="H198" s="129">
        <f>G198*Listas!$I$4</f>
        <v>0</v>
      </c>
    </row>
    <row r="199" spans="2:8" x14ac:dyDescent="0.25">
      <c r="B199" s="70" t="s">
        <v>188</v>
      </c>
      <c r="C199" s="70"/>
      <c r="D199" s="70"/>
      <c r="E199" s="70"/>
      <c r="F199" s="70"/>
      <c r="G199" s="70"/>
      <c r="H199" s="129">
        <f>G199*Listas!$I$4</f>
        <v>0</v>
      </c>
    </row>
    <row r="200" spans="2:8" x14ac:dyDescent="0.25">
      <c r="B200" s="70" t="s">
        <v>188</v>
      </c>
      <c r="C200" s="70"/>
      <c r="D200" s="70"/>
      <c r="E200" s="70"/>
      <c r="F200" s="70"/>
      <c r="G200" s="70"/>
      <c r="H200" s="129">
        <f>G200*Listas!$I$4</f>
        <v>0</v>
      </c>
    </row>
  </sheetData>
  <mergeCells count="2">
    <mergeCell ref="B2:I2"/>
    <mergeCell ref="K3:M3"/>
  </mergeCells>
  <conditionalFormatting sqref="L17">
    <cfRule type="cellIs" dxfId="1" priority="2" operator="greaterThan">
      <formula>0.05</formula>
    </cfRule>
  </conditionalFormatting>
  <conditionalFormatting sqref="M17">
    <cfRule type="cellIs" dxfId="0" priority="1" operator="equal">
      <formula>"Ajustar usos"</formula>
    </cfRule>
  </conditionalFormatting>
  <dataValidations count="1">
    <dataValidation type="list" allowBlank="1" showInputMessage="1" showErrorMessage="1" sqref="B5:B200">
      <formula1>OFFSET($K$4, 0, 0, COUNTA($K:$K) - 1)</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theme="7"/>
  </sheetPr>
  <dimension ref="A1:W96"/>
  <sheetViews>
    <sheetView topLeftCell="I58" zoomScaleNormal="100" workbookViewId="0">
      <selection activeCell="H15" sqref="H15"/>
    </sheetView>
  </sheetViews>
  <sheetFormatPr baseColWidth="10" defaultRowHeight="15" x14ac:dyDescent="0.25"/>
  <cols>
    <col min="1" max="1" width="5.7109375" style="166" customWidth="1"/>
    <col min="2" max="2" width="16.140625" style="166" customWidth="1"/>
    <col min="3" max="3" width="34.85546875" style="166" customWidth="1"/>
    <col min="4" max="4" width="17.140625" style="166" customWidth="1"/>
    <col min="5" max="5" width="18.42578125" style="166" customWidth="1"/>
    <col min="6" max="6" width="10.7109375" style="166" customWidth="1"/>
    <col min="7" max="7" width="17.85546875" style="166" customWidth="1"/>
    <col min="8" max="8" width="38.28515625" style="166" customWidth="1"/>
    <col min="9" max="9" width="19.5703125" style="166" customWidth="1"/>
    <col min="10" max="10" width="16.5703125" style="166" customWidth="1"/>
    <col min="11" max="11" width="4.28515625" style="166" customWidth="1"/>
    <col min="12" max="12" width="12.28515625" style="166" customWidth="1"/>
    <col min="13" max="13" width="29" style="166" customWidth="1"/>
    <col min="14" max="14" width="11.28515625" style="166" customWidth="1"/>
    <col min="15" max="15" width="15.42578125" style="166" customWidth="1"/>
    <col min="16" max="16" width="13.42578125" style="166" customWidth="1"/>
    <col min="17" max="17" width="11.42578125" style="166"/>
    <col min="18" max="18" width="13.140625" style="166" customWidth="1"/>
    <col min="19" max="19" width="16.42578125" style="166" customWidth="1"/>
    <col min="20" max="20" width="11.42578125" style="166"/>
    <col min="21" max="21" width="24.140625" style="166" customWidth="1"/>
    <col min="22" max="16384" width="11.42578125" style="166"/>
  </cols>
  <sheetData>
    <row r="1" spans="1:9" ht="15.75" thickBot="1" x14ac:dyDescent="0.3"/>
    <row r="2" spans="1:9" ht="27.75" customHeight="1" thickBot="1" x14ac:dyDescent="0.3">
      <c r="B2" s="422" t="s">
        <v>364</v>
      </c>
      <c r="C2" s="423"/>
      <c r="D2" s="423"/>
      <c r="E2" s="423"/>
      <c r="F2" s="423"/>
      <c r="G2" s="423"/>
      <c r="H2" s="423"/>
      <c r="I2" s="424"/>
    </row>
    <row r="3" spans="1:9" ht="15" customHeight="1" x14ac:dyDescent="0.25">
      <c r="B3" s="191"/>
      <c r="C3" s="191"/>
      <c r="D3" s="191"/>
      <c r="E3" s="191"/>
      <c r="F3" s="191"/>
      <c r="G3" s="191"/>
      <c r="H3" s="191"/>
    </row>
    <row r="4" spans="1:9" ht="12.75" customHeight="1" x14ac:dyDescent="0.25">
      <c r="C4" s="207" t="s">
        <v>386</v>
      </c>
      <c r="D4" s="208">
        <f>SUM('Usos Electricidad'!$AJ:$AJ,'Usos Gas Natural'!$L:$L,'Usos Gas Licuado'!$L:$L,'Usos Diesel'!$L:$L)</f>
        <v>3101356.638609827</v>
      </c>
      <c r="E4" s="178"/>
      <c r="F4" s="188"/>
      <c r="G4" s="178"/>
    </row>
    <row r="5" spans="1:9" ht="12.75" customHeight="1" x14ac:dyDescent="0.25">
      <c r="C5" s="207" t="s">
        <v>371</v>
      </c>
      <c r="D5" s="209">
        <f>SUM('Usos Electricidad'!$AK:$AK,'Usos Gas Natural'!$M:$M,'Usos Gas Licuado'!$M:$M,'Usos Diesel'!$M:$M)</f>
        <v>256100189.57993168</v>
      </c>
      <c r="E5" s="178"/>
      <c r="F5" s="188"/>
      <c r="G5" s="178"/>
    </row>
    <row r="6" spans="1:9" ht="12.75" customHeight="1" x14ac:dyDescent="0.25">
      <c r="B6" s="178"/>
      <c r="C6" s="178"/>
      <c r="D6" s="178"/>
      <c r="E6" s="178"/>
      <c r="F6" s="188"/>
      <c r="G6" s="178"/>
      <c r="H6" s="192" t="s">
        <v>378</v>
      </c>
      <c r="I6" s="201">
        <v>0.95</v>
      </c>
    </row>
    <row r="7" spans="1:9" ht="15.75" x14ac:dyDescent="0.25">
      <c r="A7" s="6"/>
      <c r="B7" s="179"/>
      <c r="C7" s="1"/>
      <c r="D7" s="1"/>
      <c r="E7" s="1"/>
      <c r="F7" s="1"/>
      <c r="G7" s="1"/>
      <c r="H7" s="192" t="s">
        <v>379</v>
      </c>
      <c r="I7" s="202">
        <v>0.95</v>
      </c>
    </row>
    <row r="8" spans="1:9" ht="15.75" x14ac:dyDescent="0.25">
      <c r="A8" s="6"/>
      <c r="B8" s="179" t="s">
        <v>362</v>
      </c>
      <c r="C8" s="1"/>
      <c r="D8" s="1"/>
      <c r="E8" s="1"/>
      <c r="F8" s="1"/>
      <c r="G8" s="1"/>
      <c r="H8" s="192" t="s">
        <v>383</v>
      </c>
      <c r="I8" s="202">
        <v>0.95</v>
      </c>
    </row>
    <row r="9" spans="1:9" ht="25.5" x14ac:dyDescent="0.25">
      <c r="B9" s="205" t="s">
        <v>361</v>
      </c>
      <c r="C9" s="205" t="s">
        <v>178</v>
      </c>
      <c r="D9" s="205" t="s">
        <v>372</v>
      </c>
      <c r="E9" s="205" t="s">
        <v>367</v>
      </c>
      <c r="F9" s="195" t="s">
        <v>380</v>
      </c>
    </row>
    <row r="10" spans="1:9" x14ac:dyDescent="0.25">
      <c r="A10" s="200">
        <v>1</v>
      </c>
      <c r="B10" s="199">
        <f>LARGE('Usos Electricidad'!$AF:$AF,'Resumen usos'!A10)</f>
        <v>1168000</v>
      </c>
      <c r="C10" s="197" t="str">
        <f>INDEX('Usos Electricidad'!C:C,MATCH(B10,'Usos Electricidad'!$AF:$AF,0),1)</f>
        <v>Proyectores galpón exterior</v>
      </c>
      <c r="D10" s="196">
        <f t="shared" ref="D10:D19" si="0">B10/$D$4</f>
        <v>0.37660937973375169</v>
      </c>
      <c r="E10" s="206">
        <f>B10*Electricidad!$J$8</f>
        <v>100128835.48214002</v>
      </c>
      <c r="F10" s="204">
        <f t="shared" ref="F10:F19" si="1">B10/$D$4*$I$10+E10/$D$5*$I$11</f>
        <v>0.38379231454684259</v>
      </c>
      <c r="G10" s="210" t="str">
        <f>B8</f>
        <v>ELECTRICIDAD</v>
      </c>
      <c r="H10" s="192" t="s">
        <v>381</v>
      </c>
      <c r="I10" s="202">
        <v>0.5</v>
      </c>
    </row>
    <row r="11" spans="1:9" x14ac:dyDescent="0.25">
      <c r="A11" s="200">
        <v>2</v>
      </c>
      <c r="B11" s="199">
        <f>LARGE('Usos Electricidad'!$AF:$AF,'Resumen usos'!A11)</f>
        <v>876000</v>
      </c>
      <c r="C11" s="197" t="str">
        <f>INDEX('Usos Electricidad'!C:C,MATCH(B11,'Usos Electricidad'!$AF:$AF,0),1)</f>
        <v>Proyectores galpón interior</v>
      </c>
      <c r="D11" s="196">
        <f t="shared" si="0"/>
        <v>0.28245703480031376</v>
      </c>
      <c r="E11" s="206">
        <f>B11*Electricidad!$J$8</f>
        <v>75096626.611605018</v>
      </c>
      <c r="F11" s="204">
        <f t="shared" si="1"/>
        <v>0.28784423591013192</v>
      </c>
      <c r="G11" s="210" t="str">
        <f>G10</f>
        <v>ELECTRICIDAD</v>
      </c>
      <c r="H11" s="192" t="s">
        <v>382</v>
      </c>
      <c r="I11" s="431">
        <f>1-I10</f>
        <v>0.5</v>
      </c>
    </row>
    <row r="12" spans="1:9" x14ac:dyDescent="0.25">
      <c r="A12" s="200">
        <v>3</v>
      </c>
      <c r="B12" s="199">
        <f>LARGE('Usos Electricidad'!$AF:$AF,'Resumen usos'!A12)</f>
        <v>171224.10714285713</v>
      </c>
      <c r="C12" s="197" t="str">
        <f>INDEX('Usos Electricidad'!C:C,MATCH(B12,'Usos Electricidad'!$AF:$AF,0),1)</f>
        <v>Ventiladores</v>
      </c>
      <c r="D12" s="196">
        <f t="shared" si="0"/>
        <v>5.5209421906281558E-2</v>
      </c>
      <c r="E12" s="206">
        <f>B12*Electricidad!$J$8</f>
        <v>14678484.978324877</v>
      </c>
      <c r="F12" s="204">
        <f t="shared" si="1"/>
        <v>5.6262411289874734E-2</v>
      </c>
      <c r="G12" s="210" t="str">
        <f t="shared" ref="G12:G19" si="2">G11</f>
        <v>ELECTRICIDAD</v>
      </c>
    </row>
    <row r="13" spans="1:9" x14ac:dyDescent="0.25">
      <c r="A13" s="200">
        <v>4</v>
      </c>
      <c r="B13" s="199">
        <f>LARGE('Usos Electricidad'!$AF:$AF,'Resumen usos'!A13)</f>
        <v>171093.75</v>
      </c>
      <c r="C13" s="197" t="str">
        <f>INDEX('Usos Electricidad'!C:C,MATCH(B13,'Usos Electricidad'!$AF:$AF,0),1)</f>
        <v>prueba 1</v>
      </c>
      <c r="D13" s="196">
        <f t="shared" si="0"/>
        <v>5.5167389609436283E-2</v>
      </c>
      <c r="E13" s="206">
        <f>B13*Electricidad!$J$8</f>
        <v>14667309.885079104</v>
      </c>
      <c r="F13" s="204">
        <f t="shared" si="1"/>
        <v>5.6219577326197645E-2</v>
      </c>
      <c r="G13" s="210" t="str">
        <f t="shared" si="2"/>
        <v>ELECTRICIDAD</v>
      </c>
    </row>
    <row r="14" spans="1:9" x14ac:dyDescent="0.25">
      <c r="A14" s="200">
        <v>5</v>
      </c>
      <c r="B14" s="199">
        <f>LARGE('Usos Electricidad'!$AF:$AF,'Resumen usos'!A14)</f>
        <v>71696.42857142858</v>
      </c>
      <c r="C14" s="197" t="str">
        <f>INDEX('Usos Electricidad'!C:C,MATCH(B14,'Usos Electricidad'!$AF:$AF,0),1)</f>
        <v>Compresores</v>
      </c>
      <c r="D14" s="196">
        <f t="shared" si="0"/>
        <v>2.3117763264906634E-2</v>
      </c>
      <c r="E14" s="206">
        <f>B14*Electricidad!$J$8</f>
        <v>6146301.2851760061</v>
      </c>
      <c r="F14" s="204">
        <f t="shared" si="1"/>
        <v>2.3558680022406631E-2</v>
      </c>
      <c r="G14" s="210" t="str">
        <f t="shared" si="2"/>
        <v>ELECTRICIDAD</v>
      </c>
    </row>
    <row r="15" spans="1:9" x14ac:dyDescent="0.25">
      <c r="A15" s="200">
        <v>6</v>
      </c>
      <c r="B15" s="199">
        <f>LARGE('Usos Electricidad'!$AF:$AF,'Resumen usos'!A15)</f>
        <v>23933.571428571431</v>
      </c>
      <c r="C15" s="197" t="str">
        <f>INDEX('Usos Electricidad'!C:C,MATCH(B15,'Usos Electricidad'!$AF:$AF,0),1)</f>
        <v>Luminarias oficina 1 tipo 1</v>
      </c>
      <c r="D15" s="196">
        <f t="shared" si="0"/>
        <v>7.7171297007942877E-3</v>
      </c>
      <c r="E15" s="206">
        <f>B15*Electricidad!$J$8</f>
        <v>2051747.1199242086</v>
      </c>
      <c r="F15" s="204">
        <f t="shared" si="1"/>
        <v>7.8643157311161054E-3</v>
      </c>
      <c r="G15" s="210" t="str">
        <f t="shared" si="2"/>
        <v>ELECTRICIDAD</v>
      </c>
    </row>
    <row r="16" spans="1:9" x14ac:dyDescent="0.25">
      <c r="A16" s="200">
        <v>7</v>
      </c>
      <c r="B16" s="199">
        <f>LARGE('Usos Electricidad'!$AF:$AF,'Resumen usos'!A16)</f>
        <v>21540.214285714286</v>
      </c>
      <c r="C16" s="197" t="str">
        <f>INDEX('Usos Electricidad'!C:C,MATCH(B16,'Usos Electricidad'!$AF:$AF,0),1)</f>
        <v>Luminarias oficina 2 tipo 3</v>
      </c>
      <c r="D16" s="196">
        <f t="shared" si="0"/>
        <v>6.9454167307148578E-3</v>
      </c>
      <c r="E16" s="206">
        <f>B16*Electricidad!$J$8</f>
        <v>1846572.4079317877</v>
      </c>
      <c r="F16" s="204">
        <f t="shared" si="1"/>
        <v>7.0778841580044945E-3</v>
      </c>
      <c r="G16" s="210" t="str">
        <f t="shared" si="2"/>
        <v>ELECTRICIDAD</v>
      </c>
    </row>
    <row r="17" spans="1:10" x14ac:dyDescent="0.25">
      <c r="A17" s="200">
        <v>8</v>
      </c>
      <c r="B17" s="199">
        <f>LARGE('Usos Electricidad'!$AF:$AF,'Resumen usos'!A17)</f>
        <v>19188.571428571431</v>
      </c>
      <c r="C17" s="197" t="str">
        <f>INDEX('Usos Electricidad'!C:C,MATCH(B17,'Usos Electricidad'!$AF:$AF,0),1)</f>
        <v>prueba 2</v>
      </c>
      <c r="D17" s="196">
        <f t="shared" si="0"/>
        <v>6.1871540956259215E-3</v>
      </c>
      <c r="E17" s="206">
        <f>B17*Electricidad!$J$8</f>
        <v>1644973.7257780149</v>
      </c>
      <c r="F17" s="204">
        <f t="shared" si="1"/>
        <v>6.3051594532695576E-3</v>
      </c>
      <c r="G17" s="210" t="str">
        <f t="shared" si="2"/>
        <v>ELECTRICIDAD</v>
      </c>
    </row>
    <row r="18" spans="1:10" x14ac:dyDescent="0.25">
      <c r="A18" s="200">
        <v>9</v>
      </c>
      <c r="B18" s="199">
        <f>LARGE('Usos Electricidad'!$AF:$AF,'Resumen usos'!A18)</f>
        <v>12905.357142857145</v>
      </c>
      <c r="C18" s="197" t="str">
        <f>INDEX('Usos Electricidad'!C:C,MATCH(B18,'Usos Electricidad'!$AF:$AF,0),1)</f>
        <v>Equipo split oficina 1</v>
      </c>
      <c r="D18" s="196">
        <f t="shared" si="0"/>
        <v>4.1611973876831947E-3</v>
      </c>
      <c r="E18" s="206">
        <f>B18*Electricidad!$J$8</f>
        <v>1106334.2313316811</v>
      </c>
      <c r="F18" s="204">
        <f t="shared" si="1"/>
        <v>4.2405624040331939E-3</v>
      </c>
      <c r="G18" s="210" t="str">
        <f t="shared" si="2"/>
        <v>ELECTRICIDAD</v>
      </c>
    </row>
    <row r="19" spans="1:10" x14ac:dyDescent="0.25">
      <c r="A19" s="200">
        <v>10</v>
      </c>
      <c r="B19" s="199">
        <f>LARGE('Usos Electricidad'!$AF:$AF,'Resumen usos'!A19)</f>
        <v>7743.2142857142853</v>
      </c>
      <c r="C19" s="197" t="str">
        <f>INDEX('Usos Electricidad'!C:C,MATCH(B19,'Usos Electricidad'!$AF:$AF,0),1)</f>
        <v>Equipos computacionales</v>
      </c>
      <c r="D19" s="196">
        <f t="shared" si="0"/>
        <v>2.496718432609916E-3</v>
      </c>
      <c r="E19" s="206">
        <f>B19*Electricidad!$J$8</f>
        <v>663800.53879900859</v>
      </c>
      <c r="F19" s="204">
        <f t="shared" si="1"/>
        <v>2.5443374424199156E-3</v>
      </c>
      <c r="G19" s="210" t="str">
        <f t="shared" si="2"/>
        <v>ELECTRICIDAD</v>
      </c>
    </row>
    <row r="20" spans="1:10" x14ac:dyDescent="0.25">
      <c r="B20" s="176"/>
      <c r="C20" s="177"/>
      <c r="D20" s="177"/>
      <c r="E20" s="177"/>
      <c r="H20" s="179" t="s">
        <v>642</v>
      </c>
    </row>
    <row r="21" spans="1:10" ht="15.75" x14ac:dyDescent="0.25">
      <c r="A21" s="6"/>
      <c r="B21" s="179" t="s">
        <v>363</v>
      </c>
      <c r="C21" s="1"/>
      <c r="D21" s="1"/>
      <c r="E21" s="1"/>
      <c r="H21" s="297" t="s">
        <v>188</v>
      </c>
      <c r="I21" s="297" t="s">
        <v>208</v>
      </c>
      <c r="J21" s="297" t="s">
        <v>209</v>
      </c>
    </row>
    <row r="22" spans="1:10" ht="25.5" x14ac:dyDescent="0.25">
      <c r="B22" s="205" t="str">
        <f>B9</f>
        <v>Consumo [kWh]</v>
      </c>
      <c r="C22" s="205" t="str">
        <f>C9</f>
        <v>Descripción</v>
      </c>
      <c r="D22" s="205" t="str">
        <f>D9</f>
        <v>% de consumo total</v>
      </c>
      <c r="E22" s="205" t="str">
        <f>E9</f>
        <v>Costo [$]</v>
      </c>
      <c r="F22" s="195" t="s">
        <v>380</v>
      </c>
      <c r="H22" s="200" t="s">
        <v>189</v>
      </c>
      <c r="I22" s="296">
        <f>SUM('Usos Electricidad'!AJ5,'Usos Gas Natural'!L5,'Usos Gas Licuado'!L5,'Usos Diesel'!L5)</f>
        <v>2089673.2321428573</v>
      </c>
      <c r="J22" s="296">
        <f>SUM('Usos Electricidad'!AK5,'Usos Gas Natural'!M5,'Usos Gas Licuado'!M5,'Usos Diesel'!M5)</f>
        <v>179140879.51426706</v>
      </c>
    </row>
    <row r="23" spans="1:10" x14ac:dyDescent="0.25">
      <c r="A23" s="200">
        <v>1</v>
      </c>
      <c r="B23" s="199">
        <f>LARGE('Usos Gas Natural'!$H:$H,'Resumen usos'!A23)</f>
        <v>32580</v>
      </c>
      <c r="C23" s="197" t="str">
        <f>INDEX('Usos Gas Natural'!$C:$C,MATCH(B23,'Usos Gas Natural'!$H:$H,0),1)</f>
        <v>Vapor GN</v>
      </c>
      <c r="D23" s="196">
        <f t="shared" ref="D23:D32" si="3">B23/$D$4</f>
        <v>1.050508012990208E-2</v>
      </c>
      <c r="E23" s="203">
        <f>B23*'Gas Natural  '!$M$26</f>
        <v>3991617.4388250033</v>
      </c>
      <c r="F23" s="204">
        <f t="shared" ref="F23:F32" si="4">B23/$D$4*$I$10+E23/$D$5*$I$11</f>
        <v>1.3045617932976546E-2</v>
      </c>
      <c r="G23" s="210" t="str">
        <f>B21</f>
        <v>GAS NATURAL</v>
      </c>
      <c r="H23" s="200" t="s">
        <v>488</v>
      </c>
      <c r="I23" s="296">
        <f>SUM('Usos Electricidad'!AJ6,'Usos Gas Natural'!L6,'Usos Gas Licuado'!L6,'Usos Diesel'!L6)</f>
        <v>12905.357142857145</v>
      </c>
      <c r="J23" s="296">
        <f>SUM('Usos Electricidad'!AK6,'Usos Gas Natural'!M6,'Usos Gas Licuado'!M6,'Usos Diesel'!M6)</f>
        <v>1106334.2313316811</v>
      </c>
    </row>
    <row r="24" spans="1:10" x14ac:dyDescent="0.25">
      <c r="A24" s="200">
        <v>2</v>
      </c>
      <c r="B24" s="199">
        <f>LARGE('Usos Gas Natural'!$H:$H,'Resumen usos'!A24)</f>
        <v>10860</v>
      </c>
      <c r="C24" s="197" t="str">
        <f>INDEX('Usos Gas Natural'!$C:$C,MATCH(B24,'Usos Gas Natural'!$H:$H,0),1)</f>
        <v>ACS GN</v>
      </c>
      <c r="D24" s="196">
        <f t="shared" si="3"/>
        <v>3.5016933766340267E-3</v>
      </c>
      <c r="E24" s="203">
        <f>B24*'Gas Natural  '!$M$26</f>
        <v>1330539.1462750011</v>
      </c>
      <c r="F24" s="204">
        <f t="shared" si="4"/>
        <v>4.3485393109921819E-3</v>
      </c>
      <c r="G24" s="210" t="str">
        <f>G23</f>
        <v>GAS NATURAL</v>
      </c>
      <c r="H24" s="200" t="s">
        <v>509</v>
      </c>
      <c r="I24" s="296">
        <f>SUM('Usos Electricidad'!AJ7,'Usos Gas Natural'!L7,'Usos Gas Licuado'!L7,'Usos Diesel'!L7)</f>
        <v>19627.021428571432</v>
      </c>
      <c r="J24" s="296">
        <f>SUM('Usos Electricidad'!AK7,'Usos Gas Natural'!M7,'Usos Gas Licuado'!M7,'Usos Diesel'!M7)</f>
        <v>1684746.8129721398</v>
      </c>
    </row>
    <row r="25" spans="1:10" x14ac:dyDescent="0.25">
      <c r="A25" s="200">
        <v>3</v>
      </c>
      <c r="B25" s="199">
        <f>LARGE('Usos Gas Natural'!$H:$H,'Resumen usos'!A25)</f>
        <v>2715</v>
      </c>
      <c r="C25" s="197" t="str">
        <f>INDEX('Usos Gas Natural'!$C:$C,MATCH(B25,'Usos Gas Natural'!$H:$H,0),1)</f>
        <v>Bomba calor 2 GN</v>
      </c>
      <c r="D25" s="196">
        <f t="shared" si="3"/>
        <v>8.7542334415850666E-4</v>
      </c>
      <c r="E25" s="203">
        <f>B25*'Gas Natural  '!$M$26</f>
        <v>332634.78656875028</v>
      </c>
      <c r="F25" s="204">
        <f t="shared" si="4"/>
        <v>1.0871348277480455E-3</v>
      </c>
      <c r="G25" s="210" t="str">
        <f t="shared" ref="G25:G32" si="5">G24</f>
        <v>GAS NATURAL</v>
      </c>
      <c r="H25" s="200" t="s">
        <v>516</v>
      </c>
      <c r="I25" s="296">
        <f>SUM('Usos Electricidad'!AJ8,'Usos Gas Natural'!L8,'Usos Gas Licuado'!L8,'Usos Diesel'!L8)</f>
        <v>29230</v>
      </c>
      <c r="J25" s="296">
        <f>SUM('Usos Electricidad'!AK8,'Usos Gas Natural'!M8,'Usos Gas Licuado'!M8,'Usos Diesel'!M8)</f>
        <v>2651539.1462750011</v>
      </c>
    </row>
    <row r="26" spans="1:10" x14ac:dyDescent="0.25">
      <c r="A26" s="200">
        <v>4</v>
      </c>
      <c r="B26" s="199">
        <f>LARGE('Usos Gas Natural'!$H:$H,'Resumen usos'!A26)</f>
        <v>2172</v>
      </c>
      <c r="C26" s="197" t="str">
        <f>INDEX('Usos Gas Natural'!$C:$C,MATCH(B26,'Usos Gas Natural'!$H:$H,0),1)</f>
        <v>Bomba calor 1 GN</v>
      </c>
      <c r="D26" s="196">
        <f t="shared" si="3"/>
        <v>7.0033867532680533E-4</v>
      </c>
      <c r="E26" s="203">
        <f>B26*'Gas Natural  '!$M$26</f>
        <v>266107.82925500022</v>
      </c>
      <c r="F26" s="204">
        <f t="shared" si="4"/>
        <v>8.697078621984364E-4</v>
      </c>
      <c r="G26" s="210" t="str">
        <f t="shared" si="5"/>
        <v>GAS NATURAL</v>
      </c>
      <c r="H26" s="200" t="s">
        <v>631</v>
      </c>
      <c r="I26" s="296">
        <f>SUM('Usos Electricidad'!AJ9,'Usos Gas Natural'!L9,'Usos Gas Licuado'!L9,'Usos Diesel'!L9)</f>
        <v>12123.214285714286</v>
      </c>
      <c r="J26" s="296">
        <f>SUM('Usos Electricidad'!AK9,'Usos Gas Natural'!M9,'Usos Gas Licuado'!M9,'Usos Diesel'!M9)</f>
        <v>1039283.6718570337</v>
      </c>
    </row>
    <row r="27" spans="1:10" x14ac:dyDescent="0.25">
      <c r="A27" s="200">
        <v>5</v>
      </c>
      <c r="B27" s="199">
        <f>LARGE('Usos Gas Natural'!$H:$H,'Resumen usos'!A27)</f>
        <v>162.89999999999998</v>
      </c>
      <c r="C27" s="197" t="str">
        <f>INDEX('Usos Gas Natural'!$C:$C,MATCH(B27,'Usos Gas Natural'!$H:$H,0),1)</f>
        <v>Calefactor GN</v>
      </c>
      <c r="D27" s="196">
        <f t="shared" si="3"/>
        <v>5.252540064951039E-5</v>
      </c>
      <c r="E27" s="203">
        <f>B27*'Gas Natural  '!$M$26</f>
        <v>19958.087194125012</v>
      </c>
      <c r="F27" s="204">
        <f t="shared" si="4"/>
        <v>6.5228089664882716E-5</v>
      </c>
      <c r="G27" s="210" t="str">
        <f t="shared" si="5"/>
        <v>GAS NATURAL</v>
      </c>
      <c r="H27" s="200" t="s">
        <v>534</v>
      </c>
      <c r="I27" s="296">
        <f>SUM('Usos Electricidad'!AJ10,'Usos Gas Natural'!L10,'Usos Gas Licuado'!L10,'Usos Diesel'!L10)</f>
        <v>607187.25</v>
      </c>
      <c r="J27" s="296">
        <f>SUM('Usos Electricidad'!AK10,'Usos Gas Natural'!M10,'Usos Gas Licuado'!M10,'Usos Diesel'!M10)</f>
        <v>41698002.500902854</v>
      </c>
    </row>
    <row r="28" spans="1:10" x14ac:dyDescent="0.25">
      <c r="A28" s="200">
        <v>6</v>
      </c>
      <c r="B28" s="199">
        <f>LARGE('Usos Gas Natural'!$H:$H,'Resumen usos'!A28)</f>
        <v>0</v>
      </c>
      <c r="C28" s="197">
        <f>INDEX('Usos Gas Natural'!$C:$C,MATCH(B28,'Usos Gas Natural'!$H:$H,0),1)</f>
        <v>0</v>
      </c>
      <c r="D28" s="196">
        <f t="shared" si="3"/>
        <v>0</v>
      </c>
      <c r="E28" s="203">
        <f>B28*'Gas Natural  '!$M$26</f>
        <v>0</v>
      </c>
      <c r="F28" s="204">
        <f t="shared" si="4"/>
        <v>0</v>
      </c>
      <c r="G28" s="210" t="str">
        <f t="shared" si="5"/>
        <v>GAS NATURAL</v>
      </c>
      <c r="H28" s="200" t="s">
        <v>547</v>
      </c>
      <c r="I28" s="296">
        <f>SUM('Usos Electricidad'!AJ11,'Usos Gas Natural'!L11,'Usos Gas Licuado'!L11,'Usos Diesel'!L11)</f>
        <v>242920.53571428571</v>
      </c>
      <c r="J28" s="296">
        <f>SUM('Usos Electricidad'!AK11,'Usos Gas Natural'!M11,'Usos Gas Licuado'!M11,'Usos Diesel'!M11)</f>
        <v>20824786.263500884</v>
      </c>
    </row>
    <row r="29" spans="1:10" x14ac:dyDescent="0.25">
      <c r="A29" s="200">
        <v>7</v>
      </c>
      <c r="B29" s="199">
        <f>LARGE('Usos Gas Natural'!$H:$H,'Resumen usos'!A29)</f>
        <v>0</v>
      </c>
      <c r="C29" s="197">
        <f>INDEX('Usos Gas Natural'!$C:$C,MATCH(B29,'Usos Gas Natural'!$H:$H,0),1)</f>
        <v>0</v>
      </c>
      <c r="D29" s="196">
        <f t="shared" si="3"/>
        <v>0</v>
      </c>
      <c r="E29" s="203">
        <f>B29*'Gas Natural  '!$M$26</f>
        <v>0</v>
      </c>
      <c r="F29" s="204">
        <f t="shared" si="4"/>
        <v>0</v>
      </c>
      <c r="G29" s="210" t="str">
        <f t="shared" si="5"/>
        <v>GAS NATURAL</v>
      </c>
      <c r="H29" s="200" t="s">
        <v>563</v>
      </c>
      <c r="I29" s="296">
        <f>SUM('Usos Electricidad'!AJ12,'Usos Gas Natural'!L12,'Usos Gas Licuado'!L12,'Usos Diesel'!L12)</f>
        <v>0</v>
      </c>
      <c r="J29" s="296">
        <f>SUM('Usos Electricidad'!AK12,'Usos Gas Natural'!M12,'Usos Gas Licuado'!M12,'Usos Diesel'!M12)</f>
        <v>0</v>
      </c>
    </row>
    <row r="30" spans="1:10" x14ac:dyDescent="0.25">
      <c r="A30" s="200">
        <v>8</v>
      </c>
      <c r="B30" s="199">
        <f>LARGE('Usos Gas Natural'!$H:$H,'Resumen usos'!A30)</f>
        <v>0</v>
      </c>
      <c r="C30" s="197">
        <f>INDEX('Usos Gas Natural'!$C:$C,MATCH(B30,'Usos Gas Natural'!$H:$H,0),1)</f>
        <v>0</v>
      </c>
      <c r="D30" s="196">
        <f t="shared" si="3"/>
        <v>0</v>
      </c>
      <c r="E30" s="203">
        <f>B30*'Gas Natural  '!$M$26</f>
        <v>0</v>
      </c>
      <c r="F30" s="204">
        <f t="shared" si="4"/>
        <v>0</v>
      </c>
      <c r="G30" s="210" t="str">
        <f t="shared" si="5"/>
        <v>GAS NATURAL</v>
      </c>
      <c r="H30" s="200" t="s">
        <v>575</v>
      </c>
      <c r="I30" s="296">
        <f>SUM('Usos Electricidad'!AJ13,'Usos Gas Natural'!L13,'Usos Gas Licuado'!L13,'Usos Diesel'!L13)</f>
        <v>0</v>
      </c>
      <c r="J30" s="296">
        <f>SUM('Usos Electricidad'!AK13,'Usos Gas Natural'!M13,'Usos Gas Licuado'!M13,'Usos Diesel'!M13)</f>
        <v>0</v>
      </c>
    </row>
    <row r="31" spans="1:10" x14ac:dyDescent="0.25">
      <c r="A31" s="200">
        <v>9</v>
      </c>
      <c r="B31" s="199">
        <f>LARGE('Usos Gas Natural'!$H:$H,'Resumen usos'!A31)</f>
        <v>0</v>
      </c>
      <c r="C31" s="197">
        <f>INDEX('Usos Gas Natural'!$C:$C,MATCH(B31,'Usos Gas Natural'!$H:$H,0),1)</f>
        <v>0</v>
      </c>
      <c r="D31" s="196">
        <f t="shared" si="3"/>
        <v>0</v>
      </c>
      <c r="E31" s="203">
        <f>B31*'Gas Natural  '!$M$26</f>
        <v>0</v>
      </c>
      <c r="F31" s="204">
        <f t="shared" si="4"/>
        <v>0</v>
      </c>
      <c r="G31" s="210" t="str">
        <f t="shared" si="5"/>
        <v>GAS NATURAL</v>
      </c>
      <c r="H31" s="200" t="s">
        <v>594</v>
      </c>
      <c r="I31" s="296">
        <f>SUM('Usos Electricidad'!AJ14,'Usos Gas Natural'!L14,'Usos Gas Licuado'!L14,'Usos Diesel'!L14)</f>
        <v>87690</v>
      </c>
      <c r="J31" s="296">
        <f>SUM('Usos Electricidad'!AK14,'Usos Gas Natural'!M14,'Usos Gas Licuado'!M14,'Usos Diesel'!M14)</f>
        <v>7954617.4388250038</v>
      </c>
    </row>
    <row r="32" spans="1:10" x14ac:dyDescent="0.25">
      <c r="A32" s="200">
        <v>10</v>
      </c>
      <c r="B32" s="199">
        <f>LARGE('Usos Gas Natural'!$H:$H,'Resumen usos'!A32)</f>
        <v>0</v>
      </c>
      <c r="C32" s="197">
        <f>INDEX('Usos Gas Natural'!$C:$C,MATCH(B32,'Usos Gas Natural'!$H:$H,0),1)</f>
        <v>0</v>
      </c>
      <c r="D32" s="196">
        <f t="shared" si="3"/>
        <v>0</v>
      </c>
      <c r="E32" s="203">
        <f>B32*'Gas Natural  '!$M$26</f>
        <v>0</v>
      </c>
      <c r="F32" s="204">
        <f t="shared" si="4"/>
        <v>0</v>
      </c>
      <c r="G32" s="210" t="str">
        <f t="shared" si="5"/>
        <v>GAS NATURAL</v>
      </c>
      <c r="H32" s="200" t="s">
        <v>240</v>
      </c>
      <c r="I32" s="296">
        <f>SUM('Usos Electricidad'!AJ15,'Usos Gas Natural'!L15,'Usos Gas Licuado'!L15,'Usos Diesel'!L15)</f>
        <v>0</v>
      </c>
      <c r="J32" s="296">
        <f>SUM('Usos Electricidad'!AK15,'Usos Gas Natural'!M15,'Usos Gas Licuado'!M15,'Usos Diesel'!M15)</f>
        <v>0</v>
      </c>
    </row>
    <row r="33" spans="1:10" x14ac:dyDescent="0.25">
      <c r="B33" s="176"/>
      <c r="C33" s="177"/>
      <c r="D33" s="177"/>
      <c r="E33" s="177"/>
    </row>
    <row r="34" spans="1:10" ht="15.75" x14ac:dyDescent="0.25">
      <c r="A34" s="6"/>
      <c r="B34" s="179" t="s">
        <v>365</v>
      </c>
      <c r="C34" s="1"/>
      <c r="D34" s="1"/>
      <c r="E34" s="1"/>
      <c r="H34" s="179" t="s">
        <v>643</v>
      </c>
    </row>
    <row r="35" spans="1:10" ht="25.5" x14ac:dyDescent="0.25">
      <c r="B35" s="205" t="str">
        <f>B22</f>
        <v>Consumo [kWh]</v>
      </c>
      <c r="C35" s="205" t="str">
        <f>C22</f>
        <v>Descripción</v>
      </c>
      <c r="D35" s="205" t="str">
        <f>D22</f>
        <v>% de consumo total</v>
      </c>
      <c r="E35" s="205" t="str">
        <f>E22</f>
        <v>Costo [$]</v>
      </c>
      <c r="F35" s="195" t="s">
        <v>380</v>
      </c>
      <c r="H35" s="297" t="s">
        <v>188</v>
      </c>
      <c r="I35" s="297" t="s">
        <v>208</v>
      </c>
      <c r="J35" s="297" t="s">
        <v>209</v>
      </c>
    </row>
    <row r="36" spans="1:10" x14ac:dyDescent="0.25">
      <c r="A36" s="200">
        <v>1</v>
      </c>
      <c r="B36" s="199">
        <f>LARGE('Usos Gas Licuado'!$H:$H,'Resumen usos'!A36)</f>
        <v>23190</v>
      </c>
      <c r="C36" s="197" t="str">
        <f>INDEX('Usos Gas Licuado'!$C:$C,MATCH(B36,'Usos Gas Licuado'!$H:$H,0),1)</f>
        <v>Vapor GL</v>
      </c>
      <c r="D36" s="196">
        <f t="shared" ref="D36:D45" si="6">B36/$D$4</f>
        <v>7.4773728733096758E-3</v>
      </c>
      <c r="E36" s="203">
        <f>B36*'Gas Licuado '!$E$22</f>
        <v>2013000</v>
      </c>
      <c r="F36" s="204">
        <f t="shared" ref="F36:F45" si="7">B36/$D$4*$I$10+E36/$D$5*$I$11</f>
        <v>7.6687889549345457E-3</v>
      </c>
      <c r="G36" s="210" t="str">
        <f>B34</f>
        <v>GAS LICUADO</v>
      </c>
      <c r="H36" s="200" t="s">
        <v>189</v>
      </c>
      <c r="I36" s="296">
        <f>SUM('Usos Gas Natural'!L5,'Usos Gas Licuado'!L5,'Usos Diesel'!L5)</f>
        <v>0</v>
      </c>
      <c r="J36" s="296">
        <f>SUM('Usos Gas Natural'!M5,'Usos Gas Licuado'!M5,'Usos Diesel'!M5)</f>
        <v>0</v>
      </c>
    </row>
    <row r="37" spans="1:10" x14ac:dyDescent="0.25">
      <c r="A37" s="200">
        <v>2</v>
      </c>
      <c r="B37" s="199">
        <f>LARGE('Usos Gas Licuado'!$H:$H,'Resumen usos'!A37)</f>
        <v>7730</v>
      </c>
      <c r="C37" s="197" t="str">
        <f>INDEX('Usos Gas Licuado'!$C:$C,MATCH(B37,'Usos Gas Licuado'!$H:$H,0),1)</f>
        <v>ACS GL</v>
      </c>
      <c r="D37" s="196">
        <f t="shared" si="6"/>
        <v>2.4924576244365585E-3</v>
      </c>
      <c r="E37" s="203">
        <f>B37*'Gas Licuado '!$E$22</f>
        <v>671000</v>
      </c>
      <c r="F37" s="204">
        <f t="shared" si="7"/>
        <v>2.5562629849781816E-3</v>
      </c>
      <c r="G37" s="210" t="str">
        <f>G36</f>
        <v>GAS LICUADO</v>
      </c>
      <c r="H37" s="200" t="s">
        <v>488</v>
      </c>
      <c r="I37" s="296">
        <f>SUM('Usos Gas Natural'!L6,'Usos Gas Licuado'!L6,'Usos Diesel'!L6)</f>
        <v>0</v>
      </c>
      <c r="J37" s="296">
        <f>SUM('Usos Gas Natural'!M6,'Usos Gas Licuado'!M6,'Usos Diesel'!M6)</f>
        <v>0</v>
      </c>
    </row>
    <row r="38" spans="1:10" x14ac:dyDescent="0.25">
      <c r="A38" s="200">
        <v>3</v>
      </c>
      <c r="B38" s="199">
        <f>LARGE('Usos Gas Licuado'!$H:$H,'Resumen usos'!A38)</f>
        <v>1932.5</v>
      </c>
      <c r="C38" s="197" t="str">
        <f>INDEX('Usos Gas Licuado'!$C:$C,MATCH(B38,'Usos Gas Licuado'!$H:$H,0),1)</f>
        <v>Bomba calor 2 GL</v>
      </c>
      <c r="D38" s="196">
        <f t="shared" si="6"/>
        <v>6.2311440610913961E-4</v>
      </c>
      <c r="E38" s="203">
        <f>B38*'Gas Licuado '!$E$22</f>
        <v>167750</v>
      </c>
      <c r="F38" s="204">
        <f t="shared" si="7"/>
        <v>6.390657462445454E-4</v>
      </c>
      <c r="G38" s="210" t="str">
        <f t="shared" ref="G38:G45" si="8">G37</f>
        <v>GAS LICUADO</v>
      </c>
      <c r="H38" s="200" t="s">
        <v>509</v>
      </c>
      <c r="I38" s="296">
        <f>SUM('Usos Gas Natural'!L7,'Usos Gas Licuado'!L7,'Usos Diesel'!L7)</f>
        <v>438.45</v>
      </c>
      <c r="J38" s="296">
        <f>SUM('Usos Gas Natural'!M7,'Usos Gas Licuado'!M7,'Usos Diesel'!M7)</f>
        <v>39773.087194125015</v>
      </c>
    </row>
    <row r="39" spans="1:10" x14ac:dyDescent="0.25">
      <c r="A39" s="200">
        <v>4</v>
      </c>
      <c r="B39" s="199">
        <f>LARGE('Usos Gas Licuado'!$H:$H,'Resumen usos'!A39)</f>
        <v>1546</v>
      </c>
      <c r="C39" s="197" t="str">
        <f>INDEX('Usos Gas Licuado'!$C:$C,MATCH(B39,'Usos Gas Licuado'!$H:$H,0),1)</f>
        <v>Bomba calor 1 GL</v>
      </c>
      <c r="D39" s="196">
        <f t="shared" si="6"/>
        <v>4.9849152488731167E-4</v>
      </c>
      <c r="E39" s="203">
        <f>B39*'Gas Licuado '!$E$22</f>
        <v>134200</v>
      </c>
      <c r="F39" s="204">
        <f t="shared" si="7"/>
        <v>5.1125259699563632E-4</v>
      </c>
      <c r="G39" s="210" t="str">
        <f t="shared" si="8"/>
        <v>GAS LICUADO</v>
      </c>
      <c r="H39" s="200" t="s">
        <v>516</v>
      </c>
      <c r="I39" s="296">
        <f>SUM('Usos Gas Natural'!L8,'Usos Gas Licuado'!L8,'Usos Diesel'!L8)</f>
        <v>29230</v>
      </c>
      <c r="J39" s="296">
        <f>SUM('Usos Gas Natural'!M8,'Usos Gas Licuado'!M8,'Usos Diesel'!M8)</f>
        <v>2651539.1462750011</v>
      </c>
    </row>
    <row r="40" spans="1:10" x14ac:dyDescent="0.25">
      <c r="A40" s="200">
        <v>5</v>
      </c>
      <c r="B40" s="199">
        <f>LARGE('Usos Gas Licuado'!$H:$H,'Resumen usos'!A40)</f>
        <v>115.95</v>
      </c>
      <c r="C40" s="197" t="str">
        <f>INDEX('Usos Gas Licuado'!$C:$C,MATCH(B40,'Usos Gas Licuado'!$H:$H,0),1)</f>
        <v>Calefactor GL</v>
      </c>
      <c r="D40" s="196">
        <f t="shared" si="6"/>
        <v>3.7386864366548379E-5</v>
      </c>
      <c r="E40" s="203">
        <f>B40*'Gas Licuado '!$E$22</f>
        <v>10065</v>
      </c>
      <c r="F40" s="204">
        <f t="shared" si="7"/>
        <v>3.8343944774672729E-5</v>
      </c>
      <c r="G40" s="210" t="str">
        <f t="shared" si="8"/>
        <v>GAS LICUADO</v>
      </c>
      <c r="H40" s="200" t="s">
        <v>631</v>
      </c>
      <c r="I40" s="296">
        <f>SUM('Usos Gas Natural'!L9,'Usos Gas Licuado'!L9,'Usos Diesel'!L9)</f>
        <v>0</v>
      </c>
      <c r="J40" s="296">
        <f>SUM('Usos Gas Natural'!M9,'Usos Gas Licuado'!M9,'Usos Diesel'!M9)</f>
        <v>0</v>
      </c>
    </row>
    <row r="41" spans="1:10" x14ac:dyDescent="0.25">
      <c r="A41" s="200">
        <v>6</v>
      </c>
      <c r="B41" s="199">
        <f>LARGE('Usos Gas Licuado'!$H:$H,'Resumen usos'!A41)</f>
        <v>0</v>
      </c>
      <c r="C41" s="197">
        <f>INDEX('Usos Gas Licuado'!$C:$C,MATCH(B41,'Usos Gas Licuado'!$H:$H,0),1)</f>
        <v>0</v>
      </c>
      <c r="D41" s="196">
        <f t="shared" si="6"/>
        <v>0</v>
      </c>
      <c r="E41" s="203">
        <f>B41*'Gas Licuado '!$E$22</f>
        <v>0</v>
      </c>
      <c r="F41" s="204">
        <f t="shared" si="7"/>
        <v>0</v>
      </c>
      <c r="G41" s="210" t="str">
        <f t="shared" si="8"/>
        <v>GAS LICUADO</v>
      </c>
      <c r="H41" s="200" t="s">
        <v>534</v>
      </c>
      <c r="I41" s="296">
        <f>SUM('Usos Gas Natural'!L10,'Usos Gas Licuado'!L10,'Usos Diesel'!L10)</f>
        <v>436093.5</v>
      </c>
      <c r="J41" s="296">
        <f>SUM('Usos Gas Natural'!M10,'Usos Gas Licuado'!M10,'Usos Diesel'!M10)</f>
        <v>27030692.615823749</v>
      </c>
    </row>
    <row r="42" spans="1:10" x14ac:dyDescent="0.25">
      <c r="A42" s="200">
        <v>7</v>
      </c>
      <c r="B42" s="199">
        <f>LARGE('Usos Gas Licuado'!$H:$H,'Resumen usos'!A42)</f>
        <v>0</v>
      </c>
      <c r="C42" s="197">
        <f>INDEX('Usos Gas Licuado'!$C:$C,MATCH(B42,'Usos Gas Licuado'!$H:$H,0),1)</f>
        <v>0</v>
      </c>
      <c r="D42" s="196">
        <f t="shared" si="6"/>
        <v>0</v>
      </c>
      <c r="E42" s="203">
        <f>B42*'Gas Licuado '!$E$22</f>
        <v>0</v>
      </c>
      <c r="F42" s="204">
        <f t="shared" si="7"/>
        <v>0</v>
      </c>
      <c r="G42" s="210" t="str">
        <f t="shared" si="8"/>
        <v>GAS LICUADO</v>
      </c>
      <c r="H42" s="200" t="s">
        <v>547</v>
      </c>
      <c r="I42" s="296">
        <f>SUM('Usos Gas Natural'!L11,'Usos Gas Licuado'!L11,'Usos Diesel'!L11)</f>
        <v>0</v>
      </c>
      <c r="J42" s="296">
        <f>SUM('Usos Gas Natural'!M11,'Usos Gas Licuado'!M11,'Usos Diesel'!M11)</f>
        <v>0</v>
      </c>
    </row>
    <row r="43" spans="1:10" x14ac:dyDescent="0.25">
      <c r="A43" s="200">
        <v>8</v>
      </c>
      <c r="B43" s="199">
        <f>LARGE('Usos Gas Licuado'!$H:$H,'Resumen usos'!A43)</f>
        <v>0</v>
      </c>
      <c r="C43" s="197">
        <f>INDEX('Usos Gas Licuado'!$C:$C,MATCH(B43,'Usos Gas Licuado'!$H:$H,0),1)</f>
        <v>0</v>
      </c>
      <c r="D43" s="196">
        <f t="shared" si="6"/>
        <v>0</v>
      </c>
      <c r="E43" s="203">
        <f>B43*'Gas Licuado '!$E$22</f>
        <v>0</v>
      </c>
      <c r="F43" s="204">
        <f t="shared" si="7"/>
        <v>0</v>
      </c>
      <c r="G43" s="210" t="str">
        <f t="shared" si="8"/>
        <v>GAS LICUADO</v>
      </c>
      <c r="H43" s="200" t="s">
        <v>563</v>
      </c>
      <c r="I43" s="296">
        <f>SUM('Usos Gas Natural'!L12,'Usos Gas Licuado'!L12,'Usos Diesel'!L12)</f>
        <v>0</v>
      </c>
      <c r="J43" s="296">
        <f>SUM('Usos Gas Natural'!M12,'Usos Gas Licuado'!M12,'Usos Diesel'!M12)</f>
        <v>0</v>
      </c>
    </row>
    <row r="44" spans="1:10" x14ac:dyDescent="0.25">
      <c r="A44" s="200">
        <v>9</v>
      </c>
      <c r="B44" s="199">
        <f>LARGE('Usos Gas Licuado'!$H:$H,'Resumen usos'!A44)</f>
        <v>0</v>
      </c>
      <c r="C44" s="197">
        <f>INDEX('Usos Gas Licuado'!$C:$C,MATCH(B44,'Usos Gas Licuado'!$H:$H,0),1)</f>
        <v>0</v>
      </c>
      <c r="D44" s="196">
        <f t="shared" si="6"/>
        <v>0</v>
      </c>
      <c r="E44" s="203">
        <f>B44*'Gas Licuado '!$E$22</f>
        <v>0</v>
      </c>
      <c r="F44" s="204">
        <f t="shared" si="7"/>
        <v>0</v>
      </c>
      <c r="G44" s="210" t="str">
        <f t="shared" si="8"/>
        <v>GAS LICUADO</v>
      </c>
      <c r="H44" s="200" t="s">
        <v>575</v>
      </c>
      <c r="I44" s="296">
        <f>SUM('Usos Gas Natural'!L13,'Usos Gas Licuado'!L13,'Usos Diesel'!L13)</f>
        <v>0</v>
      </c>
      <c r="J44" s="296">
        <f>SUM('Usos Gas Natural'!M13,'Usos Gas Licuado'!M13,'Usos Diesel'!M13)</f>
        <v>0</v>
      </c>
    </row>
    <row r="45" spans="1:10" x14ac:dyDescent="0.25">
      <c r="A45" s="200">
        <v>10</v>
      </c>
      <c r="B45" s="199">
        <f>LARGE('Usos Gas Licuado'!$H:$H,'Resumen usos'!A45)</f>
        <v>0</v>
      </c>
      <c r="C45" s="197">
        <f>INDEX('Usos Gas Licuado'!$C:$C,MATCH(B45,'Usos Gas Licuado'!$H:$H,0),1)</f>
        <v>0</v>
      </c>
      <c r="D45" s="196">
        <f t="shared" si="6"/>
        <v>0</v>
      </c>
      <c r="E45" s="203">
        <f>B45*'Gas Licuado '!$E$22</f>
        <v>0</v>
      </c>
      <c r="F45" s="204">
        <f t="shared" si="7"/>
        <v>0</v>
      </c>
      <c r="G45" s="210" t="str">
        <f t="shared" si="8"/>
        <v>GAS LICUADO</v>
      </c>
      <c r="H45" s="200" t="s">
        <v>594</v>
      </c>
      <c r="I45" s="296">
        <f>SUM('Usos Gas Natural'!L14,'Usos Gas Licuado'!L14,'Usos Diesel'!L14)</f>
        <v>87690</v>
      </c>
      <c r="J45" s="296">
        <f>SUM('Usos Gas Natural'!M14,'Usos Gas Licuado'!M14,'Usos Diesel'!M14)</f>
        <v>7954617.4388250038</v>
      </c>
    </row>
    <row r="46" spans="1:10" x14ac:dyDescent="0.25">
      <c r="B46" s="176"/>
      <c r="C46" s="177"/>
      <c r="D46" s="177"/>
      <c r="E46" s="177"/>
      <c r="H46" s="200" t="s">
        <v>240</v>
      </c>
      <c r="I46" s="296">
        <f>SUM('Usos Gas Natural'!L15,'Usos Gas Licuado'!L15,'Usos Diesel'!L15)</f>
        <v>0</v>
      </c>
      <c r="J46" s="296">
        <f>SUM('Usos Gas Natural'!M15,'Usos Gas Licuado'!M15,'Usos Diesel'!M15)</f>
        <v>0</v>
      </c>
    </row>
    <row r="47" spans="1:10" ht="15.75" x14ac:dyDescent="0.25">
      <c r="A47" s="6"/>
      <c r="B47" s="179" t="s">
        <v>366</v>
      </c>
      <c r="C47" s="1"/>
      <c r="D47" s="1"/>
      <c r="E47" s="1"/>
    </row>
    <row r="48" spans="1:10" ht="25.5" x14ac:dyDescent="0.25">
      <c r="B48" s="205" t="str">
        <f>B35</f>
        <v>Consumo [kWh]</v>
      </c>
      <c r="C48" s="205" t="str">
        <f>C35</f>
        <v>Descripción</v>
      </c>
      <c r="D48" s="205" t="str">
        <f>D35</f>
        <v>% de consumo total</v>
      </c>
      <c r="E48" s="205" t="str">
        <f>E35</f>
        <v>Costo [$]</v>
      </c>
      <c r="F48" s="195" t="s">
        <v>380</v>
      </c>
    </row>
    <row r="49" spans="1:23" x14ac:dyDescent="0.25">
      <c r="A49" s="200">
        <v>1</v>
      </c>
      <c r="B49" s="199">
        <f>LARGE('Usos Diesel'!$H:$H,'Resumen usos'!A49)</f>
        <v>351120</v>
      </c>
      <c r="C49" s="197" t="str">
        <f>INDEX('Usos Diesel'!$C:$C,MATCH(B49,'Usos Diesel'!$H:$H,0),1)</f>
        <v>Camión tipo 1</v>
      </c>
      <c r="D49" s="196">
        <f t="shared" ref="D49:D58" si="9">B49/$D$4</f>
        <v>0.11321497038708467</v>
      </c>
      <c r="E49" s="203">
        <f>B49*'Diesel '!$E$22</f>
        <v>21450000</v>
      </c>
      <c r="F49" s="204">
        <f t="shared" ref="F49:F58" si="10">B49/$D$4*$I$10+E49/$D$5*$I$11</f>
        <v>9.8485626781768726E-2</v>
      </c>
      <c r="G49" s="210" t="str">
        <f>B47</f>
        <v>DIESEL</v>
      </c>
    </row>
    <row r="50" spans="1:23" x14ac:dyDescent="0.25">
      <c r="A50" s="200">
        <v>2</v>
      </c>
      <c r="B50" s="199">
        <f>LARGE('Usos Diesel'!$H:$H,'Resumen usos'!A50)</f>
        <v>74480</v>
      </c>
      <c r="C50" s="197" t="str">
        <f>INDEX('Usos Diesel'!$C:$C,MATCH(B50,'Usos Diesel'!$H:$H,0),1)</f>
        <v>Camión tipo 2</v>
      </c>
      <c r="D50" s="196">
        <f t="shared" si="9"/>
        <v>2.4015296748775533E-2</v>
      </c>
      <c r="E50" s="203">
        <f>B50*'Diesel '!$E$22</f>
        <v>4550000</v>
      </c>
      <c r="F50" s="204">
        <f t="shared" si="10"/>
        <v>2.0890890529466091E-2</v>
      </c>
      <c r="G50" s="210" t="str">
        <f>G49</f>
        <v>DIESEL</v>
      </c>
    </row>
    <row r="51" spans="1:23" x14ac:dyDescent="0.25">
      <c r="A51" s="200">
        <v>3</v>
      </c>
      <c r="B51" s="199">
        <f>LARGE('Usos Diesel'!$H:$H,'Resumen usos'!A51)</f>
        <v>31920</v>
      </c>
      <c r="C51" s="197" t="str">
        <f>INDEX('Usos Diesel'!$C:$C,MATCH(B51,'Usos Diesel'!$H:$H,0),1)</f>
        <v>Vapor Diesel</v>
      </c>
      <c r="D51" s="196">
        <f t="shared" si="9"/>
        <v>1.0292270035189515E-2</v>
      </c>
      <c r="E51" s="203">
        <f>B51*'Diesel '!$E$22</f>
        <v>1950000</v>
      </c>
      <c r="F51" s="204">
        <f t="shared" si="10"/>
        <v>8.9532387983426113E-3</v>
      </c>
      <c r="G51" s="210" t="str">
        <f t="shared" ref="G51:G58" si="11">G50</f>
        <v>DIESEL</v>
      </c>
    </row>
    <row r="52" spans="1:23" x14ac:dyDescent="0.25">
      <c r="A52" s="200">
        <v>4</v>
      </c>
      <c r="B52" s="199">
        <f>LARGE('Usos Diesel'!$H:$H,'Resumen usos'!A52)</f>
        <v>10640</v>
      </c>
      <c r="C52" s="197" t="str">
        <f>INDEX('Usos Diesel'!$C:$C,MATCH(B52,'Usos Diesel'!$H:$H,0),1)</f>
        <v>ACS Diesel</v>
      </c>
      <c r="D52" s="196">
        <f t="shared" si="9"/>
        <v>3.4307566783965049E-3</v>
      </c>
      <c r="E52" s="203">
        <f>B52*'Diesel '!$E$22</f>
        <v>650000</v>
      </c>
      <c r="F52" s="204">
        <f t="shared" si="10"/>
        <v>2.9844129327808704E-3</v>
      </c>
      <c r="G52" s="210" t="str">
        <f t="shared" si="11"/>
        <v>DIESEL</v>
      </c>
    </row>
    <row r="53" spans="1:23" x14ac:dyDescent="0.25">
      <c r="A53" s="200">
        <v>5</v>
      </c>
      <c r="B53" s="199">
        <f>LARGE('Usos Diesel'!$H:$H,'Resumen usos'!A53)</f>
        <v>2128</v>
      </c>
      <c r="C53" s="197" t="str">
        <f>INDEX('Usos Diesel'!$C:$C,MATCH(B53,'Usos Diesel'!$H:$H,0),1)</f>
        <v>Generador</v>
      </c>
      <c r="D53" s="196">
        <f t="shared" si="9"/>
        <v>6.8615133567930095E-4</v>
      </c>
      <c r="E53" s="203">
        <f>B53*'Diesel '!$E$22</f>
        <v>130000</v>
      </c>
      <c r="F53" s="204">
        <f t="shared" si="10"/>
        <v>5.9688258655617404E-4</v>
      </c>
      <c r="G53" s="210" t="str">
        <f t="shared" si="11"/>
        <v>DIESEL</v>
      </c>
    </row>
    <row r="54" spans="1:23" x14ac:dyDescent="0.25">
      <c r="A54" s="200">
        <v>6</v>
      </c>
      <c r="B54" s="199">
        <f>LARGE('Usos Diesel'!$H:$H,'Resumen usos'!A54)</f>
        <v>159.60000000000002</v>
      </c>
      <c r="C54" s="197" t="str">
        <f>INDEX('Usos Diesel'!$C:$C,MATCH(B54,'Usos Diesel'!$H:$H,0),1)</f>
        <v>Calefactor Diesel</v>
      </c>
      <c r="D54" s="196">
        <f t="shared" si="9"/>
        <v>5.1461350175947579E-5</v>
      </c>
      <c r="E54" s="203">
        <f>B54*'Diesel '!$E$22</f>
        <v>9750.0000000000018</v>
      </c>
      <c r="F54" s="204">
        <f t="shared" si="10"/>
        <v>4.4766193991713059E-5</v>
      </c>
      <c r="G54" s="210" t="str">
        <f t="shared" si="11"/>
        <v>DIESEL</v>
      </c>
    </row>
    <row r="55" spans="1:23" x14ac:dyDescent="0.25">
      <c r="A55" s="200">
        <v>7</v>
      </c>
      <c r="B55" s="199">
        <f>LARGE('Usos Diesel'!$H:$H,'Resumen usos'!A55)</f>
        <v>0</v>
      </c>
      <c r="C55" s="197">
        <f>INDEX('Usos Diesel'!$C:$C,MATCH(B55,'Usos Diesel'!$H:$H,0),1)</f>
        <v>0</v>
      </c>
      <c r="D55" s="196">
        <f t="shared" si="9"/>
        <v>0</v>
      </c>
      <c r="E55" s="203">
        <f>B55*'Diesel '!$E$22</f>
        <v>0</v>
      </c>
      <c r="F55" s="204">
        <f t="shared" si="10"/>
        <v>0</v>
      </c>
      <c r="G55" s="210" t="str">
        <f t="shared" si="11"/>
        <v>DIESEL</v>
      </c>
    </row>
    <row r="56" spans="1:23" x14ac:dyDescent="0.25">
      <c r="A56" s="200">
        <v>8</v>
      </c>
      <c r="B56" s="199">
        <f>LARGE('Usos Diesel'!$H:$H,'Resumen usos'!A56)</f>
        <v>0</v>
      </c>
      <c r="C56" s="197">
        <f>INDEX('Usos Diesel'!$C:$C,MATCH(B56,'Usos Diesel'!$H:$H,0),1)</f>
        <v>0</v>
      </c>
      <c r="D56" s="196">
        <f t="shared" si="9"/>
        <v>0</v>
      </c>
      <c r="E56" s="203">
        <f>B56*'Diesel '!$E$22</f>
        <v>0</v>
      </c>
      <c r="F56" s="204">
        <f t="shared" si="10"/>
        <v>0</v>
      </c>
      <c r="G56" s="210" t="str">
        <f t="shared" si="11"/>
        <v>DIESEL</v>
      </c>
    </row>
    <row r="57" spans="1:23" x14ac:dyDescent="0.25">
      <c r="A57" s="200">
        <v>9</v>
      </c>
      <c r="B57" s="199">
        <f>LARGE('Usos Diesel'!$H:$H,'Resumen usos'!A57)</f>
        <v>0</v>
      </c>
      <c r="C57" s="197">
        <f>INDEX('Usos Diesel'!$C:$C,MATCH(B57,'Usos Diesel'!$H:$H,0),1)</f>
        <v>0</v>
      </c>
      <c r="D57" s="196">
        <f t="shared" si="9"/>
        <v>0</v>
      </c>
      <c r="E57" s="203">
        <f>B57*'Diesel '!$E$22</f>
        <v>0</v>
      </c>
      <c r="F57" s="204">
        <f t="shared" si="10"/>
        <v>0</v>
      </c>
      <c r="G57" s="210" t="str">
        <f t="shared" si="11"/>
        <v>DIESEL</v>
      </c>
    </row>
    <row r="58" spans="1:23" x14ac:dyDescent="0.25">
      <c r="A58" s="200">
        <v>10</v>
      </c>
      <c r="B58" s="199">
        <f>LARGE('Usos Diesel'!$H:$H,'Resumen usos'!A58)</f>
        <v>0</v>
      </c>
      <c r="C58" s="197">
        <f>INDEX('Usos Diesel'!$C:$C,MATCH(B58,'Usos Diesel'!$H:$H,0),1)</f>
        <v>0</v>
      </c>
      <c r="D58" s="196">
        <f t="shared" si="9"/>
        <v>0</v>
      </c>
      <c r="E58" s="203">
        <f>B58*'Diesel '!$E$22</f>
        <v>0</v>
      </c>
      <c r="F58" s="204">
        <f t="shared" si="10"/>
        <v>0</v>
      </c>
      <c r="G58" s="210" t="str">
        <f t="shared" si="11"/>
        <v>DIESEL</v>
      </c>
    </row>
    <row r="59" spans="1:23" customFormat="1" x14ac:dyDescent="0.25">
      <c r="D59" s="166"/>
      <c r="F59" s="166"/>
      <c r="L59" s="166"/>
      <c r="M59" s="166"/>
      <c r="N59" s="166"/>
      <c r="O59" s="166"/>
      <c r="P59" s="166"/>
    </row>
    <row r="60" spans="1:23" x14ac:dyDescent="0.25">
      <c r="B60" s="179" t="s">
        <v>370</v>
      </c>
    </row>
    <row r="61" spans="1:23" ht="25.5" x14ac:dyDescent="0.25">
      <c r="B61" s="168" t="str">
        <f>B48</f>
        <v>Consumo [kWh]</v>
      </c>
      <c r="C61" s="168" t="str">
        <f>C48</f>
        <v>Descripción</v>
      </c>
      <c r="D61" s="168" t="str">
        <f>D48</f>
        <v>% de consumo total</v>
      </c>
      <c r="E61" s="169" t="s">
        <v>375</v>
      </c>
      <c r="G61" s="168" t="str">
        <f>E48</f>
        <v>Costo [$]</v>
      </c>
      <c r="H61" s="169" t="s">
        <v>178</v>
      </c>
      <c r="I61" s="169" t="s">
        <v>373</v>
      </c>
      <c r="J61" s="169" t="s">
        <v>376</v>
      </c>
      <c r="L61" s="190" t="s">
        <v>380</v>
      </c>
      <c r="M61" s="190" t="s">
        <v>178</v>
      </c>
      <c r="N61" s="190" t="s">
        <v>384</v>
      </c>
      <c r="O61" s="190" t="s">
        <v>387</v>
      </c>
      <c r="P61" s="190" t="s">
        <v>361</v>
      </c>
      <c r="R61" s="190" t="s">
        <v>387</v>
      </c>
      <c r="S61" s="190" t="s">
        <v>361</v>
      </c>
    </row>
    <row r="62" spans="1:23" x14ac:dyDescent="0.25">
      <c r="A62" s="200">
        <v>1</v>
      </c>
      <c r="B62" s="199">
        <f>LARGE($B$10:$B$58,A62)</f>
        <v>1168000</v>
      </c>
      <c r="C62" s="197" t="str">
        <f>INDEX($C$10:$C$58,MATCH(B62,$B$10:$B$58,0),1)</f>
        <v>Proyectores galpón exterior</v>
      </c>
      <c r="D62" s="196">
        <f>B62/$D$4</f>
        <v>0.37660937973375169</v>
      </c>
      <c r="E62" s="196">
        <f>IF(D62="","",SUM($D$62:D62))</f>
        <v>0.37660937973375169</v>
      </c>
      <c r="F62" s="193">
        <f>IF(E62="","",80%)</f>
        <v>0.8</v>
      </c>
      <c r="G62" s="198">
        <f>LARGE($E$10:$E$58,A62)</f>
        <v>100128835.48214002</v>
      </c>
      <c r="H62" s="197" t="str">
        <f>INDEX($C$10:$C$58,MATCH(G62,$E$10:$E$58,0),1)</f>
        <v>Proyectores galpón exterior</v>
      </c>
      <c r="I62" s="196">
        <f t="shared" ref="I62:I81" si="12">IFERROR(G62/$D$5,"")</f>
        <v>0.39097524935993344</v>
      </c>
      <c r="J62" s="196">
        <f>IF(I62="","",SUM($I$62:I62))</f>
        <v>0.39097524935993344</v>
      </c>
      <c r="K62" s="193">
        <f>IF(J62="","",80%)</f>
        <v>0.8</v>
      </c>
      <c r="L62" s="196">
        <f>LARGE($F$10:$F$58,A62)</f>
        <v>0.38379231454684259</v>
      </c>
      <c r="M62" s="197" t="str">
        <f>INDEX($C$10:$C$58,MATCH(L62,$F$10:$F$58,0),1)</f>
        <v>Proyectores galpón exterior</v>
      </c>
      <c r="N62" s="196">
        <f>IF(M62="","",SUM($L$62:M62))</f>
        <v>0.38379231454684259</v>
      </c>
      <c r="O62" s="196" t="str">
        <f>IF(M62="Otros","OTROS",IF(M62="","",VLOOKUP(M62,$C$10:$G$58,5,FALSE)))</f>
        <v>ELECTRICIDAD</v>
      </c>
      <c r="P62" s="211">
        <f>IF(M62="Otros",$D$4-SUM($P$61:P61),IF(M62="","",INDEX($B$10:$B$58,MATCH(M62,$C$10:$C$58,0),1)))</f>
        <v>1168000</v>
      </c>
      <c r="Q62" s="193">
        <f>IF(N62="","",80%)</f>
        <v>0.8</v>
      </c>
      <c r="R62" s="200" t="s">
        <v>362</v>
      </c>
      <c r="S62" s="212">
        <f>SUMIF($O$62:$O$81,R62,$P$62:$P$81)</f>
        <v>2481947.8571428573</v>
      </c>
      <c r="U62" s="166" t="s">
        <v>366</v>
      </c>
      <c r="V62" s="166">
        <v>457520</v>
      </c>
      <c r="W62" s="166">
        <f>INT(V62)</f>
        <v>457520</v>
      </c>
    </row>
    <row r="63" spans="1:23" x14ac:dyDescent="0.25">
      <c r="A63" s="200">
        <v>2</v>
      </c>
      <c r="B63" s="199">
        <f>IF(OR(C62="Otros",C62=""),"",IF(SUM($D$62:D62)&gt;=$I$6,$D$4-SUM($B$62:B62),LARGE($B$10:$B$58,A63)))</f>
        <v>876000</v>
      </c>
      <c r="C63" s="197" t="str">
        <f>IF(SUM($D$62:D62)&gt;=$I$6,IF(OR(C62="Otros",C62=""),"","Otros"),INDEX($C$10:$C$58,MATCH(B63,$B$10:$B$58,0),1))</f>
        <v>Proyectores galpón interior</v>
      </c>
      <c r="D63" s="196">
        <f t="shared" ref="D63:D81" si="13">IFERROR(B63/$D$4,"")</f>
        <v>0.28245703480031376</v>
      </c>
      <c r="E63" s="196">
        <f>IF(D63="","",SUM($D$62:D63))</f>
        <v>0.65906641453406545</v>
      </c>
      <c r="F63" s="193">
        <f t="shared" ref="F63:F81" si="14">IF(E63="","",80%)</f>
        <v>0.8</v>
      </c>
      <c r="G63" s="198">
        <f>IF(OR(H62="Otros",H62=""),"",IF(SUM($I$62:I62)&gt;=$I$7,$D$5-SUM($G$62:G62),LARGE($E$10:$E$58,A63)))</f>
        <v>75096626.611605018</v>
      </c>
      <c r="H63" s="197" t="str">
        <f>IF(SUM($I$62:I62)&gt;=$I$7,IF(OR(H62="Otros",H62=""),"","Otros"),INDEX($C$10:$C$58,MATCH(G63,$E$10:$E$58,0),1))</f>
        <v>Proyectores galpón interior</v>
      </c>
      <c r="I63" s="196">
        <f t="shared" si="12"/>
        <v>0.29323143701995008</v>
      </c>
      <c r="J63" s="196">
        <f>IF(I63="","",SUM($I$62:I63))</f>
        <v>0.68420668637988347</v>
      </c>
      <c r="K63" s="193">
        <f t="shared" ref="K63:K81" si="15">IF(J63="","",80%)</f>
        <v>0.8</v>
      </c>
      <c r="L63" s="196">
        <f t="shared" ref="L63:L81" si="16">IF(OR(M62="Otros",M62=""),"",IF(N62&gt;=$I$8,1-N62,LARGE($F$10:$F$58,A63)))</f>
        <v>0.28784423591013192</v>
      </c>
      <c r="M63" s="197" t="str">
        <f t="shared" ref="M63:M81" si="17">IF(N62&gt;=$I$8,IF(OR(M62="Otros",M62=""),"","Otros"),INDEX($C$10:$C$58,MATCH(L63,$F$10:$F$58,0),1))</f>
        <v>Proyectores galpón interior</v>
      </c>
      <c r="N63" s="196">
        <f>IF(M63="","",SUM($L$62:M63))</f>
        <v>0.67163655045697457</v>
      </c>
      <c r="O63" s="196" t="str">
        <f t="shared" ref="O63:O81" si="18">IF(M63="Otros","OTROS",IF(M63="","",VLOOKUP(M63,$C$10:$G$58,5,FALSE)))</f>
        <v>ELECTRICIDAD</v>
      </c>
      <c r="P63" s="211">
        <f>IF(M63="Otros",$D$4-SUM($P$61:P62),IF(M63="","",INDEX($B$10:$B$58,MATCH(M63,$C$10:$C$58,0),1)))</f>
        <v>876000</v>
      </c>
      <c r="Q63" s="193">
        <f t="shared" ref="Q63:Q81" si="19">IF(N63="","",80%)</f>
        <v>0.8</v>
      </c>
      <c r="R63" s="200" t="s">
        <v>363</v>
      </c>
      <c r="S63" s="212">
        <f t="shared" ref="S63:S66" si="20">SUMIF($O$62:$O$81,R63,$P$62:$P$81)</f>
        <v>32580</v>
      </c>
      <c r="U63" s="166" t="s">
        <v>362</v>
      </c>
      <c r="V63" s="166">
        <v>282906</v>
      </c>
      <c r="W63" s="166">
        <f t="shared" ref="W63:W80" si="21">INT(V63)</f>
        <v>282906</v>
      </c>
    </row>
    <row r="64" spans="1:23" x14ac:dyDescent="0.25">
      <c r="A64" s="200">
        <v>3</v>
      </c>
      <c r="B64" s="199">
        <f>IF(OR(C63="Otros",C63=""),"",IF(SUM($D$62:D63)&gt;=$I$6,$D$4-SUM($B$62:B63),LARGE($B$10:$B$58,A64)))</f>
        <v>351120</v>
      </c>
      <c r="C64" s="197" t="str">
        <f>IF(SUM($D$62:D63)&gt;=$I$6,IF(OR(C63="Otros",C63=""),"","Otros"),INDEX($C$10:$C$58,MATCH(B64,$B$10:$B$58,0),1))</f>
        <v>Camión tipo 1</v>
      </c>
      <c r="D64" s="196">
        <f t="shared" si="13"/>
        <v>0.11321497038708467</v>
      </c>
      <c r="E64" s="196">
        <f>IF(D64="","",SUM($D$62:D64))</f>
        <v>0.77228138492115006</v>
      </c>
      <c r="F64" s="193">
        <f t="shared" si="14"/>
        <v>0.8</v>
      </c>
      <c r="G64" s="198">
        <f>IF(OR(H63="Otros",H63=""),"",IF(SUM($I$62:I63)&gt;=$I$7,$D$5-SUM($G$62:G63),LARGE($E$10:$E$58,A64)))</f>
        <v>21450000</v>
      </c>
      <c r="H64" s="197" t="str">
        <f>IF(SUM($I$62:I63)&gt;=$I$7,IF(OR(H63="Otros",H63=""),"","Otros"),INDEX($C$10:$C$58,MATCH(G64,$E$10:$E$58,0),1))</f>
        <v>Camión tipo 1</v>
      </c>
      <c r="I64" s="196">
        <f t="shared" si="12"/>
        <v>8.3756283176452784E-2</v>
      </c>
      <c r="J64" s="196">
        <f>IF(I64="","",SUM($I$62:I64))</f>
        <v>0.76796296955633625</v>
      </c>
      <c r="K64" s="193">
        <f t="shared" si="15"/>
        <v>0.8</v>
      </c>
      <c r="L64" s="196">
        <f t="shared" si="16"/>
        <v>9.8485626781768726E-2</v>
      </c>
      <c r="M64" s="197" t="str">
        <f t="shared" si="17"/>
        <v>Camión tipo 1</v>
      </c>
      <c r="N64" s="196">
        <f>IF(M64="","",SUM($L$62:M64))</f>
        <v>0.77012217723874332</v>
      </c>
      <c r="O64" s="196" t="str">
        <f t="shared" si="18"/>
        <v>DIESEL</v>
      </c>
      <c r="P64" s="211">
        <f>IF(M64="Otros",$D$4-SUM($P$61:P63),IF(M64="","",INDEX($B$10:$B$58,MATCH(M64,$C$10:$C$58,0),1)))</f>
        <v>351120</v>
      </c>
      <c r="Q64" s="193">
        <f t="shared" si="19"/>
        <v>0.8</v>
      </c>
      <c r="R64" s="200" t="s">
        <v>365</v>
      </c>
      <c r="S64" s="212">
        <f t="shared" si="20"/>
        <v>0</v>
      </c>
      <c r="U64" s="166" t="s">
        <v>365</v>
      </c>
      <c r="V64" s="166">
        <v>30920</v>
      </c>
      <c r="W64" s="166">
        <f t="shared" si="21"/>
        <v>30920</v>
      </c>
    </row>
    <row r="65" spans="1:23" x14ac:dyDescent="0.25">
      <c r="A65" s="200">
        <v>4</v>
      </c>
      <c r="B65" s="199">
        <f>IF(OR(C64="Otros",C64=""),"",IF(SUM($D$62:D64)&gt;=$I$6,$D$4-SUM($B$62:B64),LARGE($B$10:$B$58,A65)))</f>
        <v>171224.10714285713</v>
      </c>
      <c r="C65" s="197" t="str">
        <f>IF(SUM($D$62:D64)&gt;=$I$6,IF(OR(C64="Otros",C64=""),"","Otros"),INDEX($C$10:$C$58,MATCH(B65,$B$10:$B$58,0),1))</f>
        <v>Ventiladores</v>
      </c>
      <c r="D65" s="196">
        <f t="shared" si="13"/>
        <v>5.5209421906281558E-2</v>
      </c>
      <c r="E65" s="196">
        <f>IF(D65="","",SUM($D$62:D65))</f>
        <v>0.82749080682743159</v>
      </c>
      <c r="F65" s="193">
        <f t="shared" si="14"/>
        <v>0.8</v>
      </c>
      <c r="G65" s="198">
        <f>IF(OR(H64="Otros",H64=""),"",IF(SUM($I$62:I64)&gt;=$I$7,$D$5-SUM($G$62:G64),LARGE($E$10:$E$58,A65)))</f>
        <v>14678484.978324877</v>
      </c>
      <c r="H65" s="197" t="str">
        <f>IF(SUM($I$62:I64)&gt;=$I$7,IF(OR(H64="Otros",H64=""),"","Otros"),INDEX($C$10:$C$58,MATCH(G65,$E$10:$E$58,0),1))</f>
        <v>Ventiladores</v>
      </c>
      <c r="I65" s="196">
        <f t="shared" si="12"/>
        <v>5.7315400673467916E-2</v>
      </c>
      <c r="J65" s="196">
        <f>IF(I65="","",SUM($I$62:I65))</f>
        <v>0.82527837022980421</v>
      </c>
      <c r="K65" s="193">
        <f t="shared" si="15"/>
        <v>0.8</v>
      </c>
      <c r="L65" s="196">
        <f t="shared" si="16"/>
        <v>5.6262411289874734E-2</v>
      </c>
      <c r="M65" s="197" t="str">
        <f t="shared" si="17"/>
        <v>Ventiladores</v>
      </c>
      <c r="N65" s="196">
        <f>IF(M65="","",SUM($L$62:M65))</f>
        <v>0.82638458852861807</v>
      </c>
      <c r="O65" s="196" t="str">
        <f t="shared" si="18"/>
        <v>ELECTRICIDAD</v>
      </c>
      <c r="P65" s="211">
        <f>IF(M65="Otros",$D$4-SUM($P$61:P64),IF(M65="","",INDEX($B$10:$B$58,MATCH(M65,$C$10:$C$58,0),1)))</f>
        <v>171224.10714285713</v>
      </c>
      <c r="Q65" s="193">
        <f t="shared" si="19"/>
        <v>0.8</v>
      </c>
      <c r="R65" s="200" t="s">
        <v>366</v>
      </c>
      <c r="S65" s="212">
        <f t="shared" si="20"/>
        <v>457520</v>
      </c>
      <c r="U65" s="166" t="s">
        <v>363</v>
      </c>
      <c r="V65" s="166">
        <v>43440</v>
      </c>
      <c r="W65" s="166">
        <f t="shared" si="21"/>
        <v>43440</v>
      </c>
    </row>
    <row r="66" spans="1:23" x14ac:dyDescent="0.25">
      <c r="A66" s="200">
        <v>5</v>
      </c>
      <c r="B66" s="199">
        <f>IF(OR(C65="Otros",C65=""),"",IF(SUM($D$62:D65)&gt;=$I$6,$D$4-SUM($B$62:B65),LARGE($B$10:$B$58,A66)))</f>
        <v>171093.75</v>
      </c>
      <c r="C66" s="197" t="str">
        <f>IF(SUM($D$62:D65)&gt;=$I$6,IF(OR(C65="Otros",C65=""),"","Otros"),INDEX($C$10:$C$58,MATCH(B66,$B$10:$B$58,0),1))</f>
        <v>prueba 1</v>
      </c>
      <c r="D66" s="196">
        <f t="shared" si="13"/>
        <v>5.5167389609436283E-2</v>
      </c>
      <c r="E66" s="196">
        <f>IF(D66="","",SUM($D$62:D66))</f>
        <v>0.88265819643686783</v>
      </c>
      <c r="F66" s="193">
        <f t="shared" si="14"/>
        <v>0.8</v>
      </c>
      <c r="G66" s="198">
        <f>IF(OR(H65="Otros",H65=""),"",IF(SUM($I$62:I65)&gt;=$I$7,$D$5-SUM($G$62:G65),LARGE($E$10:$E$58,A66)))</f>
        <v>14667309.885079104</v>
      </c>
      <c r="H66" s="197" t="str">
        <f>IF(SUM($I$62:I65)&gt;=$I$7,IF(OR(H65="Otros",H65=""),"","Otros"),INDEX($C$10:$C$58,MATCH(G66,$E$10:$E$58,0),1))</f>
        <v>prueba 1</v>
      </c>
      <c r="I66" s="196">
        <f t="shared" si="12"/>
        <v>5.7271765042959E-2</v>
      </c>
      <c r="J66" s="196">
        <f>IF(I66="","",SUM($I$62:I66))</f>
        <v>0.88255013527276316</v>
      </c>
      <c r="K66" s="193">
        <f t="shared" si="15"/>
        <v>0.8</v>
      </c>
      <c r="L66" s="196">
        <f t="shared" si="16"/>
        <v>5.6219577326197645E-2</v>
      </c>
      <c r="M66" s="197" t="str">
        <f t="shared" si="17"/>
        <v>prueba 1</v>
      </c>
      <c r="N66" s="196">
        <f>IF(M66="","",SUM($L$62:M66))</f>
        <v>0.88260416585481571</v>
      </c>
      <c r="O66" s="196" t="str">
        <f t="shared" si="18"/>
        <v>ELECTRICIDAD</v>
      </c>
      <c r="P66" s="211">
        <f>IF(M66="Otros",$D$4-SUM($P$61:P65),IF(M66="","",INDEX($B$10:$B$58,MATCH(M66,$C$10:$C$58,0),1)))</f>
        <v>171093.75</v>
      </c>
      <c r="Q66" s="193">
        <f t="shared" si="19"/>
        <v>0.8</v>
      </c>
      <c r="R66" s="200" t="s">
        <v>388</v>
      </c>
      <c r="S66" s="212">
        <f t="shared" si="20"/>
        <v>129308.78146696975</v>
      </c>
      <c r="U66" s="166" t="s">
        <v>388</v>
      </c>
      <c r="V66" s="166">
        <v>33894</v>
      </c>
      <c r="W66" s="166">
        <f t="shared" si="21"/>
        <v>33894</v>
      </c>
    </row>
    <row r="67" spans="1:23" x14ac:dyDescent="0.25">
      <c r="A67" s="200">
        <v>6</v>
      </c>
      <c r="B67" s="199">
        <f>IF(OR(C66="Otros",C66=""),"",IF(SUM($D$62:D66)&gt;=$I$6,$D$4-SUM($B$62:B66),LARGE($B$10:$B$58,A67)))</f>
        <v>74480</v>
      </c>
      <c r="C67" s="197" t="str">
        <f>IF(SUM($D$62:D66)&gt;=$I$6,IF(OR(C66="Otros",C66=""),"","Otros"),INDEX($C$10:$C$58,MATCH(B67,$B$10:$B$58,0),1))</f>
        <v>Camión tipo 2</v>
      </c>
      <c r="D67" s="196">
        <f t="shared" si="13"/>
        <v>2.4015296748775533E-2</v>
      </c>
      <c r="E67" s="196">
        <f>IF(D67="","",SUM($D$62:D67))</f>
        <v>0.90667349318564339</v>
      </c>
      <c r="F67" s="193">
        <f t="shared" si="14"/>
        <v>0.8</v>
      </c>
      <c r="G67" s="198">
        <f>IF(OR(H66="Otros",H66=""),"",IF(SUM($I$62:I66)&gt;=$I$7,$D$5-SUM($G$62:G66),LARGE($E$10:$E$58,A67)))</f>
        <v>6146301.2851760061</v>
      </c>
      <c r="H67" s="197" t="str">
        <f>IF(SUM($I$62:I66)&gt;=$I$7,IF(OR(H66="Otros",H66=""),"","Otros"),INDEX($C$10:$C$58,MATCH(G67,$E$10:$E$58,0),1))</f>
        <v>Compresores</v>
      </c>
      <c r="I67" s="196">
        <f t="shared" si="12"/>
        <v>2.399959677990663E-2</v>
      </c>
      <c r="J67" s="196">
        <f>IF(I67="","",SUM($I$62:I67))</f>
        <v>0.90654973205266975</v>
      </c>
      <c r="K67" s="193">
        <f t="shared" si="15"/>
        <v>0.8</v>
      </c>
      <c r="L67" s="196">
        <f t="shared" si="16"/>
        <v>2.3558680022406631E-2</v>
      </c>
      <c r="M67" s="197" t="str">
        <f t="shared" si="17"/>
        <v>Compresores</v>
      </c>
      <c r="N67" s="196">
        <f>IF(M67="","",SUM($L$62:M67))</f>
        <v>0.9061628458772224</v>
      </c>
      <c r="O67" s="196" t="str">
        <f t="shared" si="18"/>
        <v>ELECTRICIDAD</v>
      </c>
      <c r="P67" s="211">
        <f>IF(M67="Otros",$D$4-SUM($P$61:P66),IF(M67="","",INDEX($B$10:$B$58,MATCH(M67,$C$10:$C$58,0),1)))</f>
        <v>71696.42857142858</v>
      </c>
      <c r="Q67" s="193">
        <f t="shared" si="19"/>
        <v>0.8</v>
      </c>
      <c r="R67"/>
      <c r="U67" s="166" t="s">
        <v>342</v>
      </c>
      <c r="V67" s="166">
        <v>-351120</v>
      </c>
      <c r="W67" s="166">
        <f t="shared" si="21"/>
        <v>-351120</v>
      </c>
    </row>
    <row r="68" spans="1:23" x14ac:dyDescent="0.25">
      <c r="A68" s="200">
        <v>7</v>
      </c>
      <c r="B68" s="199">
        <f>IF(OR(C67="Otros",C67=""),"",IF(SUM($D$62:D67)&gt;=$I$6,$D$4-SUM($B$62:B67),LARGE($B$10:$B$58,A68)))</f>
        <v>71696.42857142858</v>
      </c>
      <c r="C68" s="197" t="str">
        <f>IF(SUM($D$62:D67)&gt;=$I$6,IF(OR(C67="Otros",C67=""),"","Otros"),INDEX($C$10:$C$58,MATCH(B68,$B$10:$B$58,0),1))</f>
        <v>Compresores</v>
      </c>
      <c r="D68" s="196">
        <f t="shared" si="13"/>
        <v>2.3117763264906634E-2</v>
      </c>
      <c r="E68" s="196">
        <f>IF(D68="","",SUM($D$62:D68))</f>
        <v>0.92979125645055005</v>
      </c>
      <c r="F68" s="193">
        <f t="shared" si="14"/>
        <v>0.8</v>
      </c>
      <c r="G68" s="198">
        <f>IF(OR(H67="Otros",H67=""),"",IF(SUM($I$62:I67)&gt;=$I$7,$D$5-SUM($G$62:G67),LARGE($E$10:$E$58,A68)))</f>
        <v>4550000</v>
      </c>
      <c r="H68" s="197" t="str">
        <f>IF(SUM($I$62:I67)&gt;=$I$7,IF(OR(H67="Otros",H67=""),"","Otros"),INDEX($C$10:$C$58,MATCH(G68,$E$10:$E$58,0),1))</f>
        <v>Camión tipo 2</v>
      </c>
      <c r="I68" s="196">
        <f t="shared" si="12"/>
        <v>1.7766484310156649E-2</v>
      </c>
      <c r="J68" s="196">
        <f>IF(I68="","",SUM($I$62:I68))</f>
        <v>0.92431621636282646</v>
      </c>
      <c r="K68" s="193">
        <f t="shared" si="15"/>
        <v>0.8</v>
      </c>
      <c r="L68" s="196">
        <f t="shared" si="16"/>
        <v>2.0890890529466091E-2</v>
      </c>
      <c r="M68" s="197" t="str">
        <f t="shared" si="17"/>
        <v>Camión tipo 2</v>
      </c>
      <c r="N68" s="196">
        <f>IF(M68="","",SUM($L$62:M68))</f>
        <v>0.92705373640668853</v>
      </c>
      <c r="O68" s="196" t="str">
        <f t="shared" si="18"/>
        <v>DIESEL</v>
      </c>
      <c r="P68" s="211">
        <f>IF(M68="Otros",$D$4-SUM($P$61:P67),IF(M68="","",INDEX($B$10:$B$58,MATCH(M68,$C$10:$C$58,0),1)))</f>
        <v>74480</v>
      </c>
      <c r="Q68" s="193">
        <f t="shared" si="19"/>
        <v>0.8</v>
      </c>
      <c r="R68"/>
      <c r="U68" s="166" t="s">
        <v>343</v>
      </c>
      <c r="V68" s="166">
        <v>-74480</v>
      </c>
      <c r="W68" s="166">
        <f t="shared" si="21"/>
        <v>-74480</v>
      </c>
    </row>
    <row r="69" spans="1:23" x14ac:dyDescent="0.25">
      <c r="A69" s="200">
        <v>8</v>
      </c>
      <c r="B69" s="199">
        <f>IF(OR(C68="Otros",C68=""),"",IF(SUM($D$62:D68)&gt;=$I$6,$D$4-SUM($B$62:B68),LARGE($B$10:$B$58,A69)))</f>
        <v>32580</v>
      </c>
      <c r="C69" s="197" t="str">
        <f>IF(SUM($D$62:D68)&gt;=$I$6,IF(OR(C68="Otros",C68=""),"","Otros"),INDEX($C$10:$C$58,MATCH(B69,$B$10:$B$58,0),1))</f>
        <v>Vapor GN</v>
      </c>
      <c r="D69" s="196">
        <f t="shared" si="13"/>
        <v>1.050508012990208E-2</v>
      </c>
      <c r="E69" s="196">
        <f>IF(D69="","",SUM($D$62:D69))</f>
        <v>0.94029633658045209</v>
      </c>
      <c r="F69" s="193">
        <f t="shared" si="14"/>
        <v>0.8</v>
      </c>
      <c r="G69" s="198">
        <f>IF(OR(H68="Otros",H68=""),"",IF(SUM($I$62:I68)&gt;=$I$7,$D$5-SUM($G$62:G68),LARGE($E$10:$E$58,A69)))</f>
        <v>3991617.4388250033</v>
      </c>
      <c r="H69" s="197" t="str">
        <f>IF(SUM($I$62:I68)&gt;=$I$7,IF(OR(H68="Otros",H68=""),"","Otros"),INDEX($C$10:$C$58,MATCH(G69,$E$10:$E$58,0),1))</f>
        <v>Vapor GN</v>
      </c>
      <c r="I69" s="196">
        <f t="shared" si="12"/>
        <v>1.5586155736051011E-2</v>
      </c>
      <c r="J69" s="196">
        <f>IF(I69="","",SUM($I$62:I69))</f>
        <v>0.9399023720988775</v>
      </c>
      <c r="K69" s="193">
        <f t="shared" si="15"/>
        <v>0.8</v>
      </c>
      <c r="L69" s="196">
        <f t="shared" si="16"/>
        <v>1.3045617932976546E-2</v>
      </c>
      <c r="M69" s="197" t="str">
        <f t="shared" si="17"/>
        <v>Vapor GN</v>
      </c>
      <c r="N69" s="196">
        <f>IF(M69="","",SUM($L$62:M69))</f>
        <v>0.94009935433966507</v>
      </c>
      <c r="O69" s="196" t="str">
        <f t="shared" si="18"/>
        <v>GAS NATURAL</v>
      </c>
      <c r="P69" s="211">
        <f>IF(M69="Otros",$D$4-SUM($P$61:P68),IF(M69="","",INDEX($B$10:$B$58,MATCH(M69,$C$10:$C$58,0),1)))</f>
        <v>32580</v>
      </c>
      <c r="Q69" s="193">
        <f t="shared" si="19"/>
        <v>0.8</v>
      </c>
      <c r="R69"/>
      <c r="U69" s="166" t="s">
        <v>349</v>
      </c>
      <c r="V69" s="166">
        <v>-31920</v>
      </c>
      <c r="W69" s="166">
        <f t="shared" si="21"/>
        <v>-31920</v>
      </c>
    </row>
    <row r="70" spans="1:23" x14ac:dyDescent="0.25">
      <c r="A70" s="200">
        <v>9</v>
      </c>
      <c r="B70" s="199">
        <f>IF(OR(C69="Otros",C69=""),"",IF(SUM($D$62:D69)&gt;=$I$6,$D$4-SUM($B$62:B69),LARGE($B$10:$B$58,A70)))</f>
        <v>31920</v>
      </c>
      <c r="C70" s="197" t="str">
        <f>IF(SUM($D$62:D69)&gt;=$I$6,IF(OR(C69="Otros",C69=""),"","Otros"),INDEX($C$10:$C$58,MATCH(B70,$B$10:$B$58,0),1))</f>
        <v>Vapor Diesel</v>
      </c>
      <c r="D70" s="196">
        <f t="shared" si="13"/>
        <v>1.0292270035189515E-2</v>
      </c>
      <c r="E70" s="196">
        <f>IF(D70="","",SUM($D$62:D70))</f>
        <v>0.9505886066156416</v>
      </c>
      <c r="F70" s="193">
        <f t="shared" si="14"/>
        <v>0.8</v>
      </c>
      <c r="G70" s="198">
        <f>IF(OR(H69="Otros",H69=""),"",IF(SUM($I$62:I69)&gt;=$I$7,$D$5-SUM($G$62:G69),LARGE($E$10:$E$58,A70)))</f>
        <v>2051747.1199242086</v>
      </c>
      <c r="H70" s="197" t="str">
        <f>IF(SUM($I$62:I69)&gt;=$I$7,IF(OR(H69="Otros",H69=""),"","Otros"),INDEX($C$10:$C$58,MATCH(G70,$E$10:$E$58,0),1))</f>
        <v>Luminarias oficina 1 tipo 1</v>
      </c>
      <c r="I70" s="196">
        <f t="shared" si="12"/>
        <v>8.0115017614379221E-3</v>
      </c>
      <c r="J70" s="196">
        <f>IF(I70="","",SUM($I$62:I70))</f>
        <v>0.94791387386031545</v>
      </c>
      <c r="K70" s="193">
        <f t="shared" si="15"/>
        <v>0.8</v>
      </c>
      <c r="L70" s="196">
        <f t="shared" si="16"/>
        <v>8.9532387983426113E-3</v>
      </c>
      <c r="M70" s="197" t="str">
        <f t="shared" si="17"/>
        <v>Vapor Diesel</v>
      </c>
      <c r="N70" s="196">
        <f>IF(M70="","",SUM($L$62:M70))</f>
        <v>0.94905259313800772</v>
      </c>
      <c r="O70" s="196" t="str">
        <f t="shared" si="18"/>
        <v>DIESEL</v>
      </c>
      <c r="P70" s="211">
        <f>IF(M70="Otros",$D$4-SUM($P$61:P69),IF(M70="","",INDEX($B$10:$B$58,MATCH(M70,$C$10:$C$58,0),1)))</f>
        <v>31920</v>
      </c>
      <c r="Q70" s="193">
        <f t="shared" si="19"/>
        <v>0.8</v>
      </c>
      <c r="R70"/>
      <c r="U70" s="166" t="s">
        <v>329</v>
      </c>
      <c r="V70" s="166">
        <v>-171094</v>
      </c>
      <c r="W70" s="166">
        <f t="shared" si="21"/>
        <v>-171094</v>
      </c>
    </row>
    <row r="71" spans="1:23" x14ac:dyDescent="0.25">
      <c r="A71" s="200">
        <v>10</v>
      </c>
      <c r="B71" s="199">
        <f>IF(OR(C70="Otros",C70=""),"",IF(SUM($D$62:D70)&gt;=$I$6,$D$4-SUM($B$62:B70),LARGE($B$10:$B$58,A71)))</f>
        <v>153242.35289554112</v>
      </c>
      <c r="C71" s="197" t="str">
        <f>IF(SUM($D$62:D70)&gt;=$I$6,IF(OR(C70="Otros",C70=""),"","Otros"),INDEX($C$10:$C$58,MATCH(B71,$B$10:$B$58,0),1))</f>
        <v>Otros</v>
      </c>
      <c r="D71" s="196">
        <f t="shared" si="13"/>
        <v>4.9411393384358238E-2</v>
      </c>
      <c r="E71" s="196">
        <f>IF(D71="","",SUM($D$62:D71))</f>
        <v>0.99999999999999978</v>
      </c>
      <c r="F71" s="193">
        <f t="shared" si="14"/>
        <v>0.8</v>
      </c>
      <c r="G71" s="198">
        <f>IF(OR(H70="Otros",H70=""),"",IF(SUM($I$62:I70)&gt;=$I$7,$D$5-SUM($G$62:G70),LARGE($E$10:$E$58,A71)))</f>
        <v>2013000</v>
      </c>
      <c r="H71" s="197" t="str">
        <f>IF(SUM($I$62:I70)&gt;=$I$7,IF(OR(H70="Otros",H70=""),"","Otros"),INDEX($C$10:$C$58,MATCH(G71,$E$10:$E$58,0),1))</f>
        <v>Vapor GL</v>
      </c>
      <c r="I71" s="196">
        <f t="shared" si="12"/>
        <v>7.8602050365594155E-3</v>
      </c>
      <c r="J71" s="196">
        <f>IF(I71="","",SUM($I$62:I71))</f>
        <v>0.95577407889687482</v>
      </c>
      <c r="K71" s="193">
        <f t="shared" si="15"/>
        <v>0.8</v>
      </c>
      <c r="L71" s="196">
        <f t="shared" si="16"/>
        <v>7.8643157311161054E-3</v>
      </c>
      <c r="M71" s="197" t="str">
        <f t="shared" si="17"/>
        <v>Luminarias oficina 1 tipo 1</v>
      </c>
      <c r="N71" s="196">
        <f>IF(M71="","",SUM($L$62:M71))</f>
        <v>0.95691690886912384</v>
      </c>
      <c r="O71" s="196" t="str">
        <f t="shared" si="18"/>
        <v>ELECTRICIDAD</v>
      </c>
      <c r="P71" s="211">
        <f>IF(M71="Otros",$D$4-SUM($P$61:P70),IF(M71="","",INDEX($B$10:$B$58,MATCH(M71,$C$10:$C$58,0),1)))</f>
        <v>23933.571428571431</v>
      </c>
      <c r="Q71" s="193">
        <f t="shared" si="19"/>
        <v>0.8</v>
      </c>
      <c r="R71"/>
      <c r="U71" s="166" t="s">
        <v>190</v>
      </c>
      <c r="V71" s="166">
        <v>-34245</v>
      </c>
      <c r="W71" s="166">
        <f t="shared" si="21"/>
        <v>-34245</v>
      </c>
    </row>
    <row r="72" spans="1:23" x14ac:dyDescent="0.25">
      <c r="A72" s="200">
        <v>11</v>
      </c>
      <c r="B72" s="199" t="str">
        <f>IF(OR(C71="Otros",C71=""),"",IF(SUM($D$62:D71)&gt;=$I$6,$D$4-SUM($B$62:B71),LARGE($B$10:$B$58,A72)))</f>
        <v/>
      </c>
      <c r="C72" s="197" t="str">
        <f>IF(SUM($D$62:D71)&gt;=$I$6,IF(OR(C71="Otros",C71=""),"","Otros"),INDEX($C$10:$C$58,MATCH(B72,$B$10:$B$58,0),1))</f>
        <v/>
      </c>
      <c r="D72" s="196" t="str">
        <f t="shared" si="13"/>
        <v/>
      </c>
      <c r="E72" s="196" t="str">
        <f>IF(D72="","",SUM($D$62:D72))</f>
        <v/>
      </c>
      <c r="F72" s="193" t="str">
        <f t="shared" si="14"/>
        <v/>
      </c>
      <c r="G72" s="198">
        <f>IF(OR(H71="Otros",H71=""),"",IF(SUM($I$62:I71)&gt;=$I$7,$D$5-SUM($G$62:G71),LARGE($E$10:$E$58,A72)))</f>
        <v>11326266.77885738</v>
      </c>
      <c r="H72" s="197" t="str">
        <f>IF(SUM($I$62:I71)&gt;=$I$7,IF(OR(H71="Otros",H71=""),"","Otros"),INDEX($C$10:$C$58,MATCH(G72,$E$10:$E$58,0),1))</f>
        <v>Otros</v>
      </c>
      <c r="I72" s="196">
        <f t="shared" si="12"/>
        <v>4.4225921103124871E-2</v>
      </c>
      <c r="J72" s="196">
        <f>IF(I72="","",SUM($I$62:I72))</f>
        <v>0.99999999999999967</v>
      </c>
      <c r="K72" s="193">
        <f t="shared" si="15"/>
        <v>0.8</v>
      </c>
      <c r="L72" s="196">
        <f t="shared" si="16"/>
        <v>4.3083091130876161E-2</v>
      </c>
      <c r="M72" s="197" t="str">
        <f t="shared" si="17"/>
        <v>Otros</v>
      </c>
      <c r="N72" s="196">
        <f>IF(M72="","",SUM($L$62:M72))</f>
        <v>1</v>
      </c>
      <c r="O72" s="196" t="str">
        <f t="shared" si="18"/>
        <v>OTROS</v>
      </c>
      <c r="P72" s="211">
        <f>IF(M72="Otros",$D$4-SUM($P$61:P71),IF(M72="","",INDEX($B$10:$B$58,MATCH(M72,$C$10:$C$58,0),1)))</f>
        <v>129308.78146696975</v>
      </c>
      <c r="Q72" s="193">
        <f t="shared" si="19"/>
        <v>0.8</v>
      </c>
      <c r="R72"/>
      <c r="U72" s="166" t="s">
        <v>389</v>
      </c>
      <c r="V72" s="166">
        <v>-23934</v>
      </c>
      <c r="W72" s="166">
        <f t="shared" si="21"/>
        <v>-23934</v>
      </c>
    </row>
    <row r="73" spans="1:23" x14ac:dyDescent="0.25">
      <c r="A73" s="200">
        <v>12</v>
      </c>
      <c r="B73" s="199" t="str">
        <f>IF(OR(C72="Otros",C72=""),"",IF(SUM($D$62:D72)&gt;=$I$6,$D$4-SUM($B$62:B72),LARGE($B$10:$B$58,A73)))</f>
        <v/>
      </c>
      <c r="C73" s="197" t="str">
        <f>IF(SUM($D$62:D72)&gt;=$I$6,IF(OR(C72="Otros",C72=""),"","Otros"),INDEX($C$10:$C$58,MATCH(B73,$B$10:$B$58,0),1))</f>
        <v/>
      </c>
      <c r="D73" s="196" t="str">
        <f t="shared" si="13"/>
        <v/>
      </c>
      <c r="E73" s="196" t="str">
        <f>IF(D73="","",SUM($D$62:D73))</f>
        <v/>
      </c>
      <c r="F73" s="193" t="str">
        <f t="shared" si="14"/>
        <v/>
      </c>
      <c r="G73" s="198" t="str">
        <f>IF(OR(H72="Otros",H72=""),"",IF(SUM($I$62:I72)&gt;=$I$7,$D$5-SUM($G$62:G72),LARGE($E$10:$E$58,A73)))</f>
        <v/>
      </c>
      <c r="H73" s="197" t="str">
        <f>IF(SUM($I$62:I72)&gt;=$I$7,IF(OR(H72="Otros",H72=""),"","Otros"),INDEX($C$10:$C$58,MATCH(G73,$E$10:$E$58,0),1))</f>
        <v/>
      </c>
      <c r="I73" s="196" t="str">
        <f t="shared" si="12"/>
        <v/>
      </c>
      <c r="J73" s="196" t="str">
        <f>IF(I73="","",SUM($I$62:I73))</f>
        <v/>
      </c>
      <c r="K73" s="193" t="str">
        <f t="shared" si="15"/>
        <v/>
      </c>
      <c r="L73" s="196" t="str">
        <f t="shared" si="16"/>
        <v/>
      </c>
      <c r="M73" s="197" t="str">
        <f t="shared" si="17"/>
        <v/>
      </c>
      <c r="N73" s="196" t="str">
        <f>IF(M73="","",SUM($L$62:M73))</f>
        <v/>
      </c>
      <c r="O73" s="196" t="str">
        <f t="shared" si="18"/>
        <v/>
      </c>
      <c r="P73" s="211" t="str">
        <f>IF(M73="Otros",$D$4-SUM($P$61:P72),IF(M73="","",INDEX($B$10:$B$58,MATCH(M73,$C$10:$C$58,0),1)))</f>
        <v/>
      </c>
      <c r="Q73" s="193" t="str">
        <f t="shared" si="19"/>
        <v/>
      </c>
      <c r="R73"/>
      <c r="U73" s="166" t="s">
        <v>390</v>
      </c>
      <c r="V73" s="166">
        <v>-21541</v>
      </c>
      <c r="W73" s="166">
        <f t="shared" si="21"/>
        <v>-21541</v>
      </c>
    </row>
    <row r="74" spans="1:23" x14ac:dyDescent="0.25">
      <c r="A74" s="200">
        <v>13</v>
      </c>
      <c r="B74" s="199" t="str">
        <f>IF(OR(C73="Otros",C73=""),"",IF(SUM($D$62:D73)&gt;=$I$6,$D$4-SUM($B$62:B73),LARGE($B$10:$B$58,A74)))</f>
        <v/>
      </c>
      <c r="C74" s="197" t="str">
        <f>IF(SUM($D$62:D73)&gt;=$I$6,IF(OR(C73="Otros",C73=""),"","Otros"),INDEX($C$10:$C$58,MATCH(B74,$B$10:$B$58,0),1))</f>
        <v/>
      </c>
      <c r="D74" s="196" t="str">
        <f t="shared" si="13"/>
        <v/>
      </c>
      <c r="E74" s="196" t="str">
        <f>IF(D74="","",SUM($D$62:D74))</f>
        <v/>
      </c>
      <c r="F74" s="193" t="str">
        <f t="shared" si="14"/>
        <v/>
      </c>
      <c r="G74" s="198" t="str">
        <f>IF(OR(H73="Otros",H73=""),"",IF(SUM($I$62:I73)&gt;=$I$7,$D$5-SUM($G$62:G73),LARGE($E$10:$E$58,A74)))</f>
        <v/>
      </c>
      <c r="H74" s="197" t="str">
        <f>IF(SUM($I$62:I73)&gt;=$I$7,IF(OR(H73="Otros",H73=""),"","Otros"),INDEX($C$10:$C$58,MATCH(G74,$E$10:$E$58,0),1))</f>
        <v/>
      </c>
      <c r="I74" s="196" t="str">
        <f t="shared" si="12"/>
        <v/>
      </c>
      <c r="J74" s="196" t="str">
        <f>IF(I74="","",SUM($I$62:I74))</f>
        <v/>
      </c>
      <c r="K74" s="193" t="str">
        <f t="shared" si="15"/>
        <v/>
      </c>
      <c r="L74" s="196" t="str">
        <f t="shared" si="16"/>
        <v/>
      </c>
      <c r="M74" s="197" t="str">
        <f t="shared" si="17"/>
        <v/>
      </c>
      <c r="N74" s="196" t="str">
        <f>IF(M74="","",SUM($L$62:M74))</f>
        <v/>
      </c>
      <c r="O74" s="196" t="str">
        <f t="shared" si="18"/>
        <v/>
      </c>
      <c r="P74" s="211" t="str">
        <f>IF(M74="Otros",$D$4-SUM($P$61:P73),IF(M74="","",INDEX($B$10:$B$58,MATCH(M74,$C$10:$C$58,0),1)))</f>
        <v/>
      </c>
      <c r="Q74" s="193" t="str">
        <f t="shared" si="19"/>
        <v/>
      </c>
      <c r="R74"/>
      <c r="U74" s="166" t="s">
        <v>330</v>
      </c>
      <c r="V74" s="166">
        <v>-19189</v>
      </c>
      <c r="W74" s="166">
        <f t="shared" si="21"/>
        <v>-19189</v>
      </c>
    </row>
    <row r="75" spans="1:23" x14ac:dyDescent="0.25">
      <c r="A75" s="200">
        <v>14</v>
      </c>
      <c r="B75" s="199" t="str">
        <f>IF(OR(C74="Otros",C74=""),"",IF(SUM($D$62:D74)&gt;=$I$6,$D$4-SUM($B$62:B74),LARGE($B$10:$B$58,A75)))</f>
        <v/>
      </c>
      <c r="C75" s="197" t="str">
        <f>IF(SUM($D$62:D74)&gt;=$I$6,IF(OR(C74="Otros",C74=""),"","Otros"),INDEX($C$10:$C$58,MATCH(B75,$B$10:$B$58,0),1))</f>
        <v/>
      </c>
      <c r="D75" s="196" t="str">
        <f t="shared" si="13"/>
        <v/>
      </c>
      <c r="E75" s="196" t="str">
        <f>IF(D75="","",SUM($D$62:D75))</f>
        <v/>
      </c>
      <c r="F75" s="193" t="str">
        <f t="shared" si="14"/>
        <v/>
      </c>
      <c r="G75" s="198" t="str">
        <f>IF(OR(H74="Otros",H74=""),"",IF(SUM($I$62:I74)&gt;=$I$7,$D$5-SUM($G$62:G74),LARGE($E$10:$E$58,A75)))</f>
        <v/>
      </c>
      <c r="H75" s="197" t="str">
        <f>IF(SUM($I$62:I74)&gt;=$I$7,IF(OR(H74="Otros",H74=""),"","Otros"),INDEX($C$10:$C$58,MATCH(G75,$E$10:$E$58,0),1))</f>
        <v/>
      </c>
      <c r="I75" s="196" t="str">
        <f t="shared" si="12"/>
        <v/>
      </c>
      <c r="J75" s="196" t="str">
        <f>IF(I75="","",SUM($I$62:I75))</f>
        <v/>
      </c>
      <c r="K75" s="193" t="str">
        <f t="shared" si="15"/>
        <v/>
      </c>
      <c r="L75" s="196" t="str">
        <f t="shared" si="16"/>
        <v/>
      </c>
      <c r="M75" s="197" t="str">
        <f t="shared" si="17"/>
        <v/>
      </c>
      <c r="N75" s="196" t="str">
        <f>IF(M75="","",SUM($L$62:M75))</f>
        <v/>
      </c>
      <c r="O75" s="196" t="str">
        <f t="shared" si="18"/>
        <v/>
      </c>
      <c r="P75" s="211" t="str">
        <f>IF(M75="Otros",$D$4-SUM($P$61:P74),IF(M75="","",INDEX($B$10:$B$58,MATCH(M75,$C$10:$C$58,0),1)))</f>
        <v/>
      </c>
      <c r="Q75" s="193" t="str">
        <f t="shared" si="19"/>
        <v/>
      </c>
      <c r="R75"/>
      <c r="U75" s="166" t="s">
        <v>391</v>
      </c>
      <c r="V75" s="166">
        <v>-12906</v>
      </c>
      <c r="W75" s="166">
        <f t="shared" si="21"/>
        <v>-12906</v>
      </c>
    </row>
    <row r="76" spans="1:23" x14ac:dyDescent="0.25">
      <c r="A76" s="200">
        <v>15</v>
      </c>
      <c r="B76" s="199" t="str">
        <f>IF(OR(C75="Otros",C75=""),"",IF(SUM($D$62:D75)&gt;=$I$6,$D$4-SUM($B$62:B75),LARGE($B$10:$B$58,A76)))</f>
        <v/>
      </c>
      <c r="C76" s="197" t="str">
        <f>IF(SUM($D$62:D75)&gt;=$I$6,IF(OR(C75="Otros",C75=""),"","Otros"),INDEX($C$10:$C$58,MATCH(B76,$B$10:$B$58,0),1))</f>
        <v/>
      </c>
      <c r="D76" s="196" t="str">
        <f t="shared" si="13"/>
        <v/>
      </c>
      <c r="E76" s="196" t="str">
        <f>IF(D76="","",SUM($D$62:D76))</f>
        <v/>
      </c>
      <c r="F76" s="193" t="str">
        <f t="shared" si="14"/>
        <v/>
      </c>
      <c r="G76" s="198" t="str">
        <f>IF(OR(H75="Otros",H75=""),"",IF(SUM($I$62:I75)&gt;=$I$7,$D$5-SUM($G$62:G75),LARGE($E$10:$E$58,A76)))</f>
        <v/>
      </c>
      <c r="H76" s="197" t="str">
        <f>IF(SUM($I$62:I75)&gt;=$I$7,IF(OR(H75="Otros",H75=""),"","Otros"),INDEX($C$10:$C$58,MATCH(G76,$E$10:$E$58,0),1))</f>
        <v/>
      </c>
      <c r="I76" s="196" t="str">
        <f t="shared" si="12"/>
        <v/>
      </c>
      <c r="J76" s="196" t="str">
        <f>IF(I76="","",SUM($I$62:I76))</f>
        <v/>
      </c>
      <c r="K76" s="193" t="str">
        <f t="shared" si="15"/>
        <v/>
      </c>
      <c r="L76" s="196" t="str">
        <f t="shared" si="16"/>
        <v/>
      </c>
      <c r="M76" s="197" t="str">
        <f t="shared" si="17"/>
        <v/>
      </c>
      <c r="N76" s="196" t="str">
        <f>IF(M76="","",SUM($L$62:M76))</f>
        <v/>
      </c>
      <c r="O76" s="196" t="str">
        <f t="shared" si="18"/>
        <v/>
      </c>
      <c r="P76" s="211" t="str">
        <f>IF(M76="Otros",$D$4-SUM($P$61:P75),IF(M76="","",INDEX($B$10:$B$58,MATCH(M76,$C$10:$C$58,0),1)))</f>
        <v/>
      </c>
      <c r="Q76" s="193" t="str">
        <f t="shared" si="19"/>
        <v/>
      </c>
      <c r="U76" s="166" t="s">
        <v>352</v>
      </c>
      <c r="V76" s="166">
        <v>-23190</v>
      </c>
      <c r="W76" s="166">
        <f t="shared" si="21"/>
        <v>-23190</v>
      </c>
    </row>
    <row r="77" spans="1:23" x14ac:dyDescent="0.25">
      <c r="A77" s="200">
        <v>16</v>
      </c>
      <c r="B77" s="199" t="str">
        <f>IF(OR(C76="Otros",C76=""),"",IF(SUM($D$62:D76)&gt;=$I$6,$D$4-SUM($B$62:B76),LARGE($B$10:$B$58,A77)))</f>
        <v/>
      </c>
      <c r="C77" s="197" t="str">
        <f>IF(SUM($D$62:D76)&gt;=$I$6,IF(OR(C76="Otros",C76=""),"","Otros"),INDEX($C$10:$C$58,MATCH(B77,$B$10:$B$58,0),1))</f>
        <v/>
      </c>
      <c r="D77" s="196" t="str">
        <f t="shared" si="13"/>
        <v/>
      </c>
      <c r="E77" s="196" t="str">
        <f>IF(D77="","",SUM($D$62:D77))</f>
        <v/>
      </c>
      <c r="F77" s="193" t="str">
        <f t="shared" si="14"/>
        <v/>
      </c>
      <c r="G77" s="198" t="str">
        <f>IF(OR(H76="Otros",H76=""),"",IF(SUM($I$62:I76)&gt;=$I$7,$D$5-SUM($G$62:G76),LARGE($E$10:$E$58,A77)))</f>
        <v/>
      </c>
      <c r="H77" s="197" t="str">
        <f>IF(SUM($I$62:I76)&gt;=$I$7,IF(OR(H76="Otros",H76=""),"","Otros"),INDEX($C$10:$C$58,MATCH(G77,$E$10:$E$58,0),1))</f>
        <v/>
      </c>
      <c r="I77" s="196" t="str">
        <f t="shared" si="12"/>
        <v/>
      </c>
      <c r="J77" s="196" t="str">
        <f>IF(I77="","",SUM($I$62:I77))</f>
        <v/>
      </c>
      <c r="K77" s="193" t="str">
        <f t="shared" si="15"/>
        <v/>
      </c>
      <c r="L77" s="196" t="str">
        <f t="shared" si="16"/>
        <v/>
      </c>
      <c r="M77" s="197" t="str">
        <f t="shared" si="17"/>
        <v/>
      </c>
      <c r="N77" s="196" t="str">
        <f>IF(M77="","",SUM($L$62:M77))</f>
        <v/>
      </c>
      <c r="O77" s="196" t="str">
        <f t="shared" si="18"/>
        <v/>
      </c>
      <c r="P77" s="211" t="str">
        <f>IF(M77="Otros",$D$4-SUM($P$61:P76),IF(M77="","",INDEX($B$10:$B$58,MATCH(M77,$C$10:$C$58,0),1)))</f>
        <v/>
      </c>
      <c r="Q77" s="193" t="str">
        <f t="shared" si="19"/>
        <v/>
      </c>
      <c r="U77" s="166" t="s">
        <v>351</v>
      </c>
      <c r="V77" s="166">
        <v>-7730</v>
      </c>
      <c r="W77" s="166">
        <f t="shared" si="21"/>
        <v>-7730</v>
      </c>
    </row>
    <row r="78" spans="1:23" x14ac:dyDescent="0.25">
      <c r="A78" s="200">
        <v>17</v>
      </c>
      <c r="B78" s="199" t="str">
        <f>IF(OR(C77="Otros",C77=""),"",IF(SUM($D$62:D77)&gt;=$I$6,$D$4-SUM($B$62:B77),LARGE($B$10:$B$58,A78)))</f>
        <v/>
      </c>
      <c r="C78" s="197" t="str">
        <f>IF(SUM($D$62:D77)&gt;=$I$6,IF(OR(C77="Otros",C77=""),"","Otros"),INDEX($C$10:$C$58,MATCH(B78,$B$10:$B$58,0),1))</f>
        <v/>
      </c>
      <c r="D78" s="196" t="str">
        <f t="shared" si="13"/>
        <v/>
      </c>
      <c r="E78" s="196" t="str">
        <f>IF(D78="","",SUM($D$62:D78))</f>
        <v/>
      </c>
      <c r="F78" s="193" t="str">
        <f t="shared" si="14"/>
        <v/>
      </c>
      <c r="G78" s="198" t="str">
        <f>IF(OR(H77="Otros",H77=""),"",IF(SUM($I$62:I77)&gt;=$I$7,$D$5-SUM($G$62:G77),LARGE($E$10:$E$58,A78)))</f>
        <v/>
      </c>
      <c r="H78" s="197" t="str">
        <f>IF(SUM($I$62:I77)&gt;=$I$7,IF(OR(H77="Otros",H77=""),"","Otros"),INDEX($C$10:$C$58,MATCH(G78,$E$10:$E$58,0),1))</f>
        <v/>
      </c>
      <c r="I78" s="196" t="str">
        <f t="shared" si="12"/>
        <v/>
      </c>
      <c r="J78" s="196" t="str">
        <f>IF(I78="","",SUM($I$62:I78))</f>
        <v/>
      </c>
      <c r="K78" s="193" t="str">
        <f t="shared" si="15"/>
        <v/>
      </c>
      <c r="L78" s="196" t="str">
        <f t="shared" si="16"/>
        <v/>
      </c>
      <c r="M78" s="197" t="str">
        <f t="shared" si="17"/>
        <v/>
      </c>
      <c r="N78" s="196" t="str">
        <f>IF(M78="","",SUM($L$62:M78))</f>
        <v/>
      </c>
      <c r="O78" s="196" t="str">
        <f t="shared" si="18"/>
        <v/>
      </c>
      <c r="P78" s="211" t="str">
        <f>IF(M78="Otros",$D$4-SUM($P$61:P77),IF(M78="","",INDEX($B$10:$B$58,MATCH(M78,$C$10:$C$58,0),1)))</f>
        <v/>
      </c>
      <c r="Q78" s="193" t="str">
        <f t="shared" si="19"/>
        <v/>
      </c>
      <c r="U78" s="166" t="s">
        <v>358</v>
      </c>
      <c r="V78" s="166">
        <v>-32580</v>
      </c>
      <c r="W78" s="166">
        <f t="shared" si="21"/>
        <v>-32580</v>
      </c>
    </row>
    <row r="79" spans="1:23" x14ac:dyDescent="0.25">
      <c r="A79" s="200">
        <v>18</v>
      </c>
      <c r="B79" s="199" t="str">
        <f>IF(OR(C78="Otros",C78=""),"",IF(SUM($D$62:D78)&gt;=$I$6,$D$4-SUM($B$62:B78),LARGE($B$10:$B$58,A79)))</f>
        <v/>
      </c>
      <c r="C79" s="197" t="str">
        <f>IF(SUM($D$62:D78)&gt;=$I$6,IF(OR(C78="Otros",C78=""),"","Otros"),INDEX($C$10:$C$58,MATCH(B79,$B$10:$B$58,0),1))</f>
        <v/>
      </c>
      <c r="D79" s="196" t="str">
        <f t="shared" si="13"/>
        <v/>
      </c>
      <c r="E79" s="196" t="str">
        <f>IF(D79="","",SUM($D$62:D79))</f>
        <v/>
      </c>
      <c r="F79" s="193" t="str">
        <f t="shared" si="14"/>
        <v/>
      </c>
      <c r="G79" s="198" t="str">
        <f>IF(OR(H78="Otros",H78=""),"",IF(SUM($I$62:I78)&gt;=$I$7,$D$5-SUM($G$62:G78),LARGE($E$10:$E$58,A79)))</f>
        <v/>
      </c>
      <c r="H79" s="197" t="str">
        <f>IF(SUM($I$62:I78)&gt;=$I$7,IF(OR(H78="Otros",H78=""),"","Otros"),INDEX($C$10:$C$58,MATCH(G79,$E$10:$E$58,0),1))</f>
        <v/>
      </c>
      <c r="I79" s="196" t="str">
        <f t="shared" si="12"/>
        <v/>
      </c>
      <c r="J79" s="196" t="str">
        <f>IF(I79="","",SUM($I$62:I79))</f>
        <v/>
      </c>
      <c r="K79" s="193" t="str">
        <f t="shared" si="15"/>
        <v/>
      </c>
      <c r="L79" s="196" t="str">
        <f t="shared" si="16"/>
        <v/>
      </c>
      <c r="M79" s="197" t="str">
        <f t="shared" si="17"/>
        <v/>
      </c>
      <c r="N79" s="196" t="str">
        <f>IF(M79="","",SUM($L$62:M79))</f>
        <v/>
      </c>
      <c r="O79" s="196" t="str">
        <f t="shared" si="18"/>
        <v/>
      </c>
      <c r="P79" s="211" t="str">
        <f>IF(M79="Otros",$D$4-SUM($P$61:P78),IF(M79="","",INDEX($B$10:$B$58,MATCH(M79,$C$10:$C$58,0),1)))</f>
        <v/>
      </c>
      <c r="Q79" s="193" t="str">
        <f t="shared" si="19"/>
        <v/>
      </c>
      <c r="U79" s="166" t="s">
        <v>356</v>
      </c>
      <c r="V79" s="166">
        <v>-10860</v>
      </c>
      <c r="W79" s="166">
        <f t="shared" si="21"/>
        <v>-10860</v>
      </c>
    </row>
    <row r="80" spans="1:23" x14ac:dyDescent="0.25">
      <c r="A80" s="200">
        <v>19</v>
      </c>
      <c r="B80" s="199" t="str">
        <f>IF(OR(C79="Otros",C79=""),"",IF(SUM($D$62:D79)&gt;=$I$6,$D$4-SUM($B$62:B79),LARGE($B$10:$B$58,A80)))</f>
        <v/>
      </c>
      <c r="C80" s="197" t="str">
        <f>IF(SUM($D$62:D79)&gt;=$I$6,IF(OR(C79="Otros",C79=""),"","Otros"),INDEX($C$10:$C$58,MATCH(B80,$B$10:$B$58,0),1))</f>
        <v/>
      </c>
      <c r="D80" s="196" t="str">
        <f t="shared" si="13"/>
        <v/>
      </c>
      <c r="E80" s="196" t="str">
        <f>IF(D80="","",SUM($D$62:D80))</f>
        <v/>
      </c>
      <c r="F80" s="193" t="str">
        <f t="shared" si="14"/>
        <v/>
      </c>
      <c r="G80" s="198" t="str">
        <f>IF(OR(H79="Otros",H79=""),"",IF(SUM($I$62:I79)&gt;=$I$7,$D$5-SUM($G$62:G79),LARGE($E$10:$E$58,A80)))</f>
        <v/>
      </c>
      <c r="H80" s="197" t="str">
        <f>IF(SUM($I$62:I79)&gt;=$I$7,IF(OR(H79="Otros",H79=""),"","Otros"),INDEX($C$10:$C$58,MATCH(G80,$E$10:$E$58,0),1))</f>
        <v/>
      </c>
      <c r="I80" s="196" t="str">
        <f t="shared" si="12"/>
        <v/>
      </c>
      <c r="J80" s="196" t="str">
        <f>IF(I80="","",SUM($I$62:I80))</f>
        <v/>
      </c>
      <c r="K80" s="193" t="str">
        <f t="shared" si="15"/>
        <v/>
      </c>
      <c r="L80" s="196" t="str">
        <f t="shared" si="16"/>
        <v/>
      </c>
      <c r="M80" s="197" t="str">
        <f t="shared" si="17"/>
        <v/>
      </c>
      <c r="N80" s="196" t="str">
        <f>IF(M80="","",SUM($L$62:M80))</f>
        <v/>
      </c>
      <c r="O80" s="196" t="str">
        <f t="shared" si="18"/>
        <v/>
      </c>
      <c r="P80" s="211" t="str">
        <f>IF(M80="Otros",$D$4-SUM($P$61:P79),IF(M80="","",INDEX($B$10:$B$58,MATCH(M80,$C$10:$C$58,0),1)))</f>
        <v/>
      </c>
      <c r="Q80" s="193" t="str">
        <f t="shared" si="19"/>
        <v/>
      </c>
      <c r="U80" s="166" t="s">
        <v>240</v>
      </c>
      <c r="V80" s="166">
        <v>-33895</v>
      </c>
      <c r="W80" s="166">
        <f t="shared" si="21"/>
        <v>-33895</v>
      </c>
    </row>
    <row r="81" spans="1:17" x14ac:dyDescent="0.25">
      <c r="A81" s="200">
        <v>20</v>
      </c>
      <c r="B81" s="199" t="str">
        <f>IF(OR(C80="Otros",C80=""),"",IF(SUM($D$62:D80)&gt;=$I$6,$D$4-SUM($B$62:B80),LARGE($B$10:$B$58,A81)))</f>
        <v/>
      </c>
      <c r="C81" s="197" t="str">
        <f>IF(SUM($D$62:D80)&gt;=$I$6,IF(OR(C80="Otros",C80=""),"","Otros"),INDEX($C$10:$C$58,MATCH(B81,$B$10:$B$58,0),1))</f>
        <v/>
      </c>
      <c r="D81" s="196" t="str">
        <f t="shared" si="13"/>
        <v/>
      </c>
      <c r="E81" s="196" t="str">
        <f>IF(D81="","",SUM($D$62:D81))</f>
        <v/>
      </c>
      <c r="F81" s="193" t="str">
        <f t="shared" si="14"/>
        <v/>
      </c>
      <c r="G81" s="198" t="str">
        <f>IF(OR(H80="Otros",H80=""),"",IF(SUM($I$62:I80)&gt;=$I$7,$D$5-SUM($G$62:G80),LARGE($E$10:$E$58,A81)))</f>
        <v/>
      </c>
      <c r="H81" s="197" t="str">
        <f>IF(SUM($I$62:I80)&gt;=$I$7,IF(OR(H80="Otros",H80=""),"","Otros"),INDEX($C$10:$C$58,MATCH(G81,$E$10:$E$58,0),1))</f>
        <v/>
      </c>
      <c r="I81" s="196" t="str">
        <f t="shared" si="12"/>
        <v/>
      </c>
      <c r="J81" s="196" t="str">
        <f>IF(I81="","",SUM($I$62:I81))</f>
        <v/>
      </c>
      <c r="K81" s="193" t="str">
        <f t="shared" si="15"/>
        <v/>
      </c>
      <c r="L81" s="196" t="str">
        <f t="shared" si="16"/>
        <v/>
      </c>
      <c r="M81" s="197" t="str">
        <f t="shared" si="17"/>
        <v/>
      </c>
      <c r="N81" s="196" t="str">
        <f>IF(M81="","",SUM($L$62:M81))</f>
        <v/>
      </c>
      <c r="O81" s="196" t="str">
        <f t="shared" si="18"/>
        <v/>
      </c>
      <c r="P81" s="211" t="str">
        <f>IF(M81="Otros",$D$4-SUM($P$61:P80),IF(M81="","",INDEX($B$10:$B$58,MATCH(M81,$C$10:$C$58,0),1)))</f>
        <v/>
      </c>
      <c r="Q81" s="193" t="str">
        <f t="shared" si="19"/>
        <v/>
      </c>
    </row>
    <row r="96" spans="1:17" x14ac:dyDescent="0.25">
      <c r="D96" s="189"/>
    </row>
  </sheetData>
  <mergeCells count="1">
    <mergeCell ref="B2:I2"/>
  </mergeCell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7"/>
  </sheetPr>
  <dimension ref="A1:AA32"/>
  <sheetViews>
    <sheetView zoomScaleNormal="100" workbookViewId="0">
      <selection activeCell="AI2" sqref="AI2"/>
    </sheetView>
  </sheetViews>
  <sheetFormatPr baseColWidth="10" defaultRowHeight="15" x14ac:dyDescent="0.25"/>
  <cols>
    <col min="1" max="1" width="11.42578125" style="166"/>
    <col min="2" max="2" width="13.140625" style="166" bestFit="1" customWidth="1"/>
    <col min="3" max="3" width="16.7109375" style="166" bestFit="1" customWidth="1"/>
    <col min="4" max="16384" width="11.42578125" style="166"/>
  </cols>
  <sheetData>
    <row r="1" spans="1:27" x14ac:dyDescent="0.25">
      <c r="A1" s="122" t="s">
        <v>206</v>
      </c>
      <c r="I1" s="122" t="s">
        <v>345</v>
      </c>
      <c r="R1" s="122" t="s">
        <v>346</v>
      </c>
      <c r="AA1" s="122" t="s">
        <v>347</v>
      </c>
    </row>
    <row r="2" spans="1:27" ht="315.75" customHeight="1" x14ac:dyDescent="0.25"/>
    <row r="5" spans="1:27" x14ac:dyDescent="0.25">
      <c r="A5" s="122" t="s">
        <v>374</v>
      </c>
      <c r="M5" s="122" t="s">
        <v>377</v>
      </c>
      <c r="Z5" s="122" t="s">
        <v>385</v>
      </c>
    </row>
    <row r="22" spans="1:22" x14ac:dyDescent="0.25">
      <c r="A22" s="122" t="s">
        <v>196</v>
      </c>
    </row>
    <row r="32" spans="1:22" x14ac:dyDescent="0.25">
      <c r="A32" s="122" t="s">
        <v>647</v>
      </c>
      <c r="H32" s="122"/>
      <c r="L32" s="122" t="s">
        <v>648</v>
      </c>
      <c r="O32" s="122"/>
      <c r="V32" s="122"/>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AM75"/>
  <sheetViews>
    <sheetView workbookViewId="0">
      <selection activeCell="AK11" sqref="AK11"/>
    </sheetView>
  </sheetViews>
  <sheetFormatPr baseColWidth="10" defaultRowHeight="15" outlineLevelRow="1" x14ac:dyDescent="0.25"/>
  <cols>
    <col min="1" max="1" width="3.85546875" style="166" customWidth="1"/>
    <col min="2" max="2" width="22.5703125" customWidth="1"/>
    <col min="3" max="27" width="11.42578125" style="121"/>
    <col min="29" max="29" width="3.140625" style="166" customWidth="1"/>
    <col min="30" max="30" width="3.28515625" style="166" customWidth="1"/>
    <col min="31" max="32" width="22.28515625" style="166" customWidth="1"/>
    <col min="33" max="33" width="21" style="166" customWidth="1"/>
    <col min="36" max="36" width="11.42578125" style="166"/>
    <col min="37" max="39" width="21" customWidth="1"/>
  </cols>
  <sheetData>
    <row r="1" spans="1:39" s="166" customFormat="1" x14ac:dyDescent="0.25">
      <c r="C1" s="121"/>
      <c r="D1" s="121"/>
      <c r="E1" s="121"/>
      <c r="F1" s="121"/>
      <c r="G1" s="121"/>
      <c r="H1" s="121"/>
      <c r="I1" s="121"/>
      <c r="J1" s="121"/>
      <c r="K1" s="121"/>
      <c r="L1" s="121"/>
      <c r="M1" s="121"/>
      <c r="N1" s="121"/>
      <c r="O1" s="121"/>
      <c r="P1" s="121"/>
      <c r="Q1" s="121"/>
      <c r="R1" s="121"/>
      <c r="S1" s="121"/>
      <c r="T1" s="121"/>
      <c r="U1" s="121"/>
      <c r="V1" s="121"/>
      <c r="W1" s="121"/>
      <c r="X1" s="121"/>
      <c r="Y1" s="121"/>
      <c r="Z1" s="121"/>
      <c r="AA1" s="121"/>
    </row>
    <row r="2" spans="1:39" ht="25.5" outlineLevel="1" x14ac:dyDescent="0.25">
      <c r="C2" s="217" t="str">
        <f>CONCATENATE("&lt;=",'Curva Electricidad'!C15)</f>
        <v>&lt;=0</v>
      </c>
      <c r="D2" s="217" t="str">
        <f>CONCATENATE("&lt;=",'Curva Electricidad'!D15)</f>
        <v>&lt;=1</v>
      </c>
      <c r="E2" s="217" t="str">
        <f>CONCATENATE("&lt;=",'Curva Electricidad'!E15)</f>
        <v>&lt;=2</v>
      </c>
      <c r="F2" s="217" t="str">
        <f>CONCATENATE("&lt;=",'Curva Electricidad'!F15)</f>
        <v>&lt;=3</v>
      </c>
      <c r="G2" s="217" t="str">
        <f>CONCATENATE("&lt;=",'Curva Electricidad'!G15)</f>
        <v>&lt;=4</v>
      </c>
      <c r="H2" s="217" t="str">
        <f>CONCATENATE("&lt;=",'Curva Electricidad'!H15)</f>
        <v>&lt;=5</v>
      </c>
      <c r="I2" s="217" t="str">
        <f>CONCATENATE("&lt;=",'Curva Electricidad'!I15)</f>
        <v>&lt;=6</v>
      </c>
      <c r="J2" s="217" t="str">
        <f>CONCATENATE("&lt;=",'Curva Electricidad'!J15)</f>
        <v>&lt;=7</v>
      </c>
      <c r="K2" s="217" t="str">
        <f>CONCATENATE("&lt;=",'Curva Electricidad'!K15)</f>
        <v>&lt;=8</v>
      </c>
      <c r="L2" s="217" t="str">
        <f>CONCATENATE("&lt;=",'Curva Electricidad'!L15)</f>
        <v>&lt;=9</v>
      </c>
      <c r="M2" s="217" t="str">
        <f>CONCATENATE("&lt;=",'Curva Electricidad'!M15)</f>
        <v>&lt;=10</v>
      </c>
      <c r="N2" s="217" t="str">
        <f>CONCATENATE("&lt;=",'Curva Electricidad'!N15)</f>
        <v>&lt;=11</v>
      </c>
      <c r="O2" s="217" t="str">
        <f>CONCATENATE("&lt;=",'Curva Electricidad'!O15)</f>
        <v>&lt;=12</v>
      </c>
      <c r="P2" s="217" t="str">
        <f>CONCATENATE("&lt;=",'Curva Electricidad'!P15)</f>
        <v>&lt;=13</v>
      </c>
      <c r="Q2" s="217" t="str">
        <f>CONCATENATE("&lt;=",'Curva Electricidad'!Q15)</f>
        <v>&lt;=14</v>
      </c>
      <c r="R2" s="217" t="str">
        <f>CONCATENATE("&lt;=",'Curva Electricidad'!R15)</f>
        <v>&lt;=15</v>
      </c>
      <c r="S2" s="217" t="str">
        <f>CONCATENATE("&lt;=",'Curva Electricidad'!S15)</f>
        <v>&lt;=16</v>
      </c>
      <c r="T2" s="217" t="str">
        <f>CONCATENATE("&lt;=",'Curva Electricidad'!T15)</f>
        <v>&lt;=17</v>
      </c>
      <c r="U2" s="217" t="str">
        <f>CONCATENATE("&lt;=",'Curva Electricidad'!U15)</f>
        <v>&lt;=18</v>
      </c>
      <c r="V2" s="217" t="str">
        <f>CONCATENATE("&lt;=",'Curva Electricidad'!V15)</f>
        <v>&lt;=19</v>
      </c>
      <c r="W2" s="217" t="str">
        <f>CONCATENATE("&lt;=",'Curva Electricidad'!W15)</f>
        <v>&lt;=20</v>
      </c>
      <c r="X2" s="217" t="str">
        <f>CONCATENATE("&lt;=",'Curva Electricidad'!X15)</f>
        <v>&lt;=21</v>
      </c>
      <c r="Y2" s="217" t="str">
        <f>CONCATENATE("&lt;=",'Curva Electricidad'!Y15)</f>
        <v>&lt;=22</v>
      </c>
      <c r="Z2" s="217" t="str">
        <f>CONCATENATE("&lt;=",'Curva Electricidad'!Z15)</f>
        <v>&lt;=23</v>
      </c>
      <c r="AA2" s="217" t="str">
        <f>CONCATENATE("&lt;=",'Curva Electricidad'!AA15)</f>
        <v>&lt;=24</v>
      </c>
      <c r="AC2" s="425" t="s">
        <v>227</v>
      </c>
      <c r="AD2" s="426"/>
      <c r="AE2" s="426"/>
      <c r="AF2" s="427"/>
      <c r="AH2" s="166"/>
      <c r="AI2" s="166"/>
      <c r="AK2" s="213" t="s">
        <v>675</v>
      </c>
      <c r="AL2" s="10" t="s">
        <v>673</v>
      </c>
      <c r="AM2" s="10" t="s">
        <v>674</v>
      </c>
    </row>
    <row r="3" spans="1:39" outlineLevel="1" x14ac:dyDescent="0.25">
      <c r="C3" s="217" t="str">
        <f>CONCATENATE("&gt;",'Curva Electricidad'!C15)</f>
        <v>&gt;0</v>
      </c>
      <c r="D3" s="217" t="str">
        <f>CONCATENATE("&gt;",'Curva Electricidad'!D15)</f>
        <v>&gt;1</v>
      </c>
      <c r="E3" s="217" t="str">
        <f>CONCATENATE("&gt;",'Curva Electricidad'!E15)</f>
        <v>&gt;2</v>
      </c>
      <c r="F3" s="217" t="str">
        <f>CONCATENATE("&gt;",'Curva Electricidad'!F15)</f>
        <v>&gt;3</v>
      </c>
      <c r="G3" s="217" t="str">
        <f>CONCATENATE("&gt;",'Curva Electricidad'!G15)</f>
        <v>&gt;4</v>
      </c>
      <c r="H3" s="217" t="str">
        <f>CONCATENATE("&gt;",'Curva Electricidad'!H15)</f>
        <v>&gt;5</v>
      </c>
      <c r="I3" s="217" t="str">
        <f>CONCATENATE("&gt;",'Curva Electricidad'!I15)</f>
        <v>&gt;6</v>
      </c>
      <c r="J3" s="217" t="str">
        <f>CONCATENATE("&gt;",'Curva Electricidad'!J15)</f>
        <v>&gt;7</v>
      </c>
      <c r="K3" s="217" t="str">
        <f>CONCATENATE("&gt;",'Curva Electricidad'!K15)</f>
        <v>&gt;8</v>
      </c>
      <c r="L3" s="217" t="str">
        <f>CONCATENATE("&gt;",'Curva Electricidad'!L15)</f>
        <v>&gt;9</v>
      </c>
      <c r="M3" s="217" t="str">
        <f>CONCATENATE("&gt;",'Curva Electricidad'!M15)</f>
        <v>&gt;10</v>
      </c>
      <c r="N3" s="217" t="str">
        <f>CONCATENATE("&gt;",'Curva Electricidad'!N15)</f>
        <v>&gt;11</v>
      </c>
      <c r="O3" s="217" t="str">
        <f>CONCATENATE("&gt;",'Curva Electricidad'!O15)</f>
        <v>&gt;12</v>
      </c>
      <c r="P3" s="217" t="str">
        <f>CONCATENATE("&gt;",'Curva Electricidad'!P15)</f>
        <v>&gt;13</v>
      </c>
      <c r="Q3" s="217" t="str">
        <f>CONCATENATE("&gt;",'Curva Electricidad'!Q15)</f>
        <v>&gt;14</v>
      </c>
      <c r="R3" s="217" t="str">
        <f>CONCATENATE("&gt;",'Curva Electricidad'!R15)</f>
        <v>&gt;15</v>
      </c>
      <c r="S3" s="217" t="str">
        <f>CONCATENATE("&gt;",'Curva Electricidad'!S15)</f>
        <v>&gt;16</v>
      </c>
      <c r="T3" s="217" t="str">
        <f>CONCATENATE("&gt;",'Curva Electricidad'!T15)</f>
        <v>&gt;17</v>
      </c>
      <c r="U3" s="217" t="str">
        <f>CONCATENATE("&gt;",'Curva Electricidad'!U15)</f>
        <v>&gt;18</v>
      </c>
      <c r="V3" s="217" t="str">
        <f>CONCATENATE("&gt;",'Curva Electricidad'!V15)</f>
        <v>&gt;19</v>
      </c>
      <c r="W3" s="217" t="str">
        <f>CONCATENATE("&gt;",'Curva Electricidad'!W15)</f>
        <v>&gt;20</v>
      </c>
      <c r="X3" s="217" t="str">
        <f>CONCATENATE("&gt;",'Curva Electricidad'!X15)</f>
        <v>&gt;21</v>
      </c>
      <c r="Y3" s="217" t="str">
        <f>CONCATENATE("&gt;",'Curva Electricidad'!Y15)</f>
        <v>&gt;22</v>
      </c>
      <c r="Z3" s="217" t="str">
        <f>CONCATENATE("&gt;",'Curva Electricidad'!Z15)</f>
        <v>&gt;23</v>
      </c>
      <c r="AA3" s="217" t="str">
        <f>CONCATENATE("=",'Curva Electricidad'!AA15)</f>
        <v>=24</v>
      </c>
      <c r="AC3" s="313" t="s">
        <v>310</v>
      </c>
      <c r="AD3" s="313"/>
      <c r="AE3" s="313" t="str">
        <f>CONCATENATE("'Usos Electricidad'!$",AC3,":$",AC3)</f>
        <v>'Usos Electricidad'!$AA:$AA</v>
      </c>
      <c r="AF3" s="313"/>
      <c r="AH3" s="215" t="s">
        <v>175</v>
      </c>
      <c r="AI3" s="215" t="s">
        <v>301</v>
      </c>
      <c r="AJ3" s="215">
        <f>MATCH(CONCATENATE(AH3," ",AI3),B:B,0)+5</f>
        <v>19</v>
      </c>
      <c r="AK3" s="315">
        <f ca="1">MAX(INDIRECT(CONCATENATE("C",$AJ3,":AA",$AJ3)))</f>
        <v>446.36</v>
      </c>
      <c r="AL3" s="315">
        <f ca="1">MAX(INDIRECT(CONCATENATE("C",$AJ3,":U",$AJ3)))</f>
        <v>446.36</v>
      </c>
      <c r="AM3" s="315">
        <f ca="1">MAX(INDIRECT(CONCATENATE("V",$AJ3,":AA",$AJ3)))</f>
        <v>309.65999999999997</v>
      </c>
    </row>
    <row r="4" spans="1:39" s="166" customFormat="1" outlineLevel="1" x14ac:dyDescent="0.25">
      <c r="C4" s="121"/>
      <c r="D4" s="121"/>
      <c r="E4" s="121"/>
      <c r="F4" s="121"/>
      <c r="G4" s="121"/>
      <c r="H4" s="121"/>
      <c r="I4" s="121"/>
      <c r="J4" s="121"/>
      <c r="K4" s="121"/>
      <c r="L4" s="121"/>
      <c r="M4" s="121"/>
      <c r="N4" s="121"/>
      <c r="O4" s="121"/>
      <c r="P4" s="121"/>
      <c r="Q4" s="121"/>
      <c r="R4" s="121"/>
      <c r="S4" s="121"/>
      <c r="T4" s="121"/>
      <c r="U4" s="121"/>
      <c r="V4" s="121"/>
      <c r="W4" s="121"/>
      <c r="X4" s="121"/>
      <c r="Y4" s="121"/>
      <c r="Z4" s="121"/>
      <c r="AA4" s="121"/>
      <c r="AC4" s="313" t="s">
        <v>311</v>
      </c>
      <c r="AD4" s="313"/>
      <c r="AE4" s="313" t="str">
        <f>CONCATENATE("'Usos Electricidad'!$",AC4,":$",AC4)</f>
        <v>'Usos Electricidad'!$AB:$AB</v>
      </c>
      <c r="AF4" s="313"/>
      <c r="AH4" s="215" t="s">
        <v>175</v>
      </c>
      <c r="AI4" s="215" t="s">
        <v>302</v>
      </c>
      <c r="AJ4" s="215">
        <f t="shared" ref="AJ4:AJ10" si="0">MATCH(CONCATENATE(AH4," ",AI4),B:B,0)+5</f>
        <v>26</v>
      </c>
      <c r="AK4" s="315">
        <f t="shared" ref="AK4:AK10" ca="1" si="1">MAX(INDIRECT(CONCATENATE("C",$AJ4,":AA",$AJ4)))</f>
        <v>396.005</v>
      </c>
      <c r="AL4" s="315">
        <f t="shared" ref="AL4:AL10" ca="1" si="2">MAX(INDIRECT(CONCATENATE("C",$AJ4,":U",$AJ4)))</f>
        <v>396.005</v>
      </c>
      <c r="AM4" s="315">
        <f t="shared" ref="AM4:AM10" ca="1" si="3">MAX(INDIRECT(CONCATENATE("V",$AJ4,":AA",$AJ4)))</f>
        <v>355.80500000000001</v>
      </c>
    </row>
    <row r="5" spans="1:39" s="166" customFormat="1" outlineLevel="1" x14ac:dyDescent="0.25">
      <c r="C5" s="121"/>
      <c r="D5" s="121"/>
      <c r="E5" s="121"/>
      <c r="F5" s="121"/>
      <c r="G5" s="121"/>
      <c r="H5" s="121"/>
      <c r="I5" s="121"/>
      <c r="J5" s="121"/>
      <c r="K5" s="121"/>
      <c r="L5" s="121"/>
      <c r="M5" s="121"/>
      <c r="N5" s="121"/>
      <c r="O5" s="121"/>
      <c r="P5" s="121"/>
      <c r="Q5" s="121"/>
      <c r="R5" s="121"/>
      <c r="S5" s="121"/>
      <c r="T5" s="121"/>
      <c r="U5" s="121"/>
      <c r="V5" s="121"/>
      <c r="W5" s="121"/>
      <c r="X5" s="121"/>
      <c r="Y5" s="121"/>
      <c r="Z5" s="121"/>
      <c r="AA5" s="121"/>
      <c r="AC5" s="313" t="s">
        <v>312</v>
      </c>
      <c r="AD5" s="313"/>
      <c r="AE5" s="313" t="str">
        <f>CONCATENATE("'Usos Electricidad'!$",AC5,":$",AC5)</f>
        <v>'Usos Electricidad'!$AC:$AC</v>
      </c>
      <c r="AF5" s="313"/>
      <c r="AH5" s="215" t="s">
        <v>175</v>
      </c>
      <c r="AI5" s="215" t="s">
        <v>303</v>
      </c>
      <c r="AJ5" s="215">
        <f t="shared" si="0"/>
        <v>33</v>
      </c>
      <c r="AK5" s="315">
        <f t="shared" ca="1" si="1"/>
        <v>450.65</v>
      </c>
      <c r="AL5" s="315">
        <f t="shared" ca="1" si="2"/>
        <v>450.65</v>
      </c>
      <c r="AM5" s="315">
        <f t="shared" ca="1" si="3"/>
        <v>406.95</v>
      </c>
    </row>
    <row r="6" spans="1:39" s="166" customFormat="1" outlineLevel="1" x14ac:dyDescent="0.25">
      <c r="C6" s="314" t="s">
        <v>276</v>
      </c>
      <c r="D6" s="121"/>
      <c r="E6" s="121"/>
      <c r="F6" s="121"/>
      <c r="G6" s="121"/>
      <c r="H6" s="121"/>
      <c r="I6" s="121"/>
      <c r="J6" s="121"/>
      <c r="K6" s="121"/>
      <c r="L6" s="121"/>
      <c r="M6" s="121"/>
      <c r="N6" s="121"/>
      <c r="O6" s="121"/>
      <c r="P6" s="121"/>
      <c r="Q6" s="121"/>
      <c r="R6" s="121"/>
      <c r="S6" s="121"/>
      <c r="T6" s="121"/>
      <c r="U6" s="121"/>
      <c r="V6" s="121"/>
      <c r="W6" s="121"/>
      <c r="X6" s="121"/>
      <c r="Y6" s="121"/>
      <c r="Z6" s="121"/>
      <c r="AA6" s="121"/>
      <c r="AC6" s="313" t="s">
        <v>313</v>
      </c>
      <c r="AD6" s="313"/>
      <c r="AE6" s="313" t="str">
        <f>CONCATENATE("'Usos Electricidad'!$",AC6,":$",AC6)</f>
        <v>'Usos Electricidad'!$AD:$AD</v>
      </c>
      <c r="AF6" s="313"/>
      <c r="AH6" s="215" t="s">
        <v>175</v>
      </c>
      <c r="AI6" s="215" t="s">
        <v>304</v>
      </c>
      <c r="AJ6" s="215">
        <f t="shared" si="0"/>
        <v>40</v>
      </c>
      <c r="AK6" s="315">
        <f t="shared" ca="1" si="1"/>
        <v>396.005</v>
      </c>
      <c r="AL6" s="315">
        <f t="shared" ca="1" si="2"/>
        <v>396.005</v>
      </c>
      <c r="AM6" s="315">
        <f t="shared" ca="1" si="3"/>
        <v>355.80500000000001</v>
      </c>
    </row>
    <row r="7" spans="1:39" s="166" customFormat="1" outlineLevel="1" x14ac:dyDescent="0.25">
      <c r="B7" s="215" t="s">
        <v>175</v>
      </c>
      <c r="C7" s="217">
        <f ca="1">MAX(C19:AA19,C26:AA26,C33:AA33,C68:AA68)</f>
        <v>450.65</v>
      </c>
      <c r="D7" s="121"/>
      <c r="E7" s="121"/>
      <c r="F7" s="121"/>
      <c r="G7" s="121"/>
      <c r="H7" s="121"/>
      <c r="I7" s="121"/>
      <c r="J7" s="121"/>
      <c r="K7" s="121"/>
      <c r="L7" s="121"/>
      <c r="M7" s="121"/>
      <c r="N7" s="121"/>
      <c r="O7" s="121"/>
      <c r="P7" s="121"/>
      <c r="Q7" s="121"/>
      <c r="R7" s="121"/>
      <c r="S7" s="121"/>
      <c r="T7" s="121"/>
      <c r="U7" s="121"/>
      <c r="V7" s="121"/>
      <c r="W7" s="121"/>
      <c r="X7" s="121"/>
      <c r="Y7" s="121"/>
      <c r="Z7" s="121"/>
      <c r="AA7" s="121"/>
      <c r="AC7" s="200" t="s">
        <v>192</v>
      </c>
      <c r="AD7" s="200" t="s">
        <v>193</v>
      </c>
      <c r="AE7" s="200" t="str">
        <f t="shared" ref="AE7:AF10" si="4">CONCATENATE("'Usos Electricidad'!$",AC7,":$",AC7)</f>
        <v>'Usos Electricidad'!$G:$G</v>
      </c>
      <c r="AF7" s="200" t="str">
        <f t="shared" si="4"/>
        <v>'Usos Electricidad'!$H:$H</v>
      </c>
      <c r="AH7" s="215" t="s">
        <v>176</v>
      </c>
      <c r="AI7" s="215" t="s">
        <v>301</v>
      </c>
      <c r="AJ7" s="215">
        <f t="shared" si="0"/>
        <v>47</v>
      </c>
      <c r="AK7" s="315">
        <f t="shared" ca="1" si="1"/>
        <v>446.36</v>
      </c>
      <c r="AL7" s="315">
        <f t="shared" ca="1" si="2"/>
        <v>446.36</v>
      </c>
      <c r="AM7" s="315">
        <f t="shared" ca="1" si="3"/>
        <v>250.5</v>
      </c>
    </row>
    <row r="8" spans="1:39" s="166" customFormat="1" outlineLevel="1" x14ac:dyDescent="0.25">
      <c r="B8" s="215" t="s">
        <v>176</v>
      </c>
      <c r="C8" s="217">
        <f ca="1">MAX(C47:AA47,C54:AA54,C61:AA61,C68:AA68)</f>
        <v>446.36</v>
      </c>
      <c r="D8" s="121"/>
      <c r="E8" s="121"/>
      <c r="F8" s="121"/>
      <c r="G8" s="121"/>
      <c r="H8" s="121"/>
      <c r="I8" s="121"/>
      <c r="J8" s="121"/>
      <c r="K8" s="121"/>
      <c r="L8" s="121"/>
      <c r="M8" s="121"/>
      <c r="N8" s="121"/>
      <c r="O8" s="121"/>
      <c r="P8" s="121"/>
      <c r="Q8" s="121"/>
      <c r="R8" s="121"/>
      <c r="S8" s="121"/>
      <c r="T8" s="121"/>
      <c r="U8" s="121"/>
      <c r="V8" s="121"/>
      <c r="W8" s="121"/>
      <c r="X8" s="121"/>
      <c r="Y8" s="121"/>
      <c r="Z8" s="121"/>
      <c r="AA8" s="121"/>
      <c r="AC8" s="200" t="s">
        <v>194</v>
      </c>
      <c r="AD8" s="200" t="s">
        <v>195</v>
      </c>
      <c r="AE8" s="200" t="str">
        <f t="shared" si="4"/>
        <v>'Usos Electricidad'!$I:$I</v>
      </c>
      <c r="AF8" s="200" t="str">
        <f t="shared" si="4"/>
        <v>'Usos Electricidad'!$J:$J</v>
      </c>
      <c r="AH8" s="215" t="s">
        <v>176</v>
      </c>
      <c r="AI8" s="215" t="s">
        <v>302</v>
      </c>
      <c r="AJ8" s="215">
        <f t="shared" si="0"/>
        <v>54</v>
      </c>
      <c r="AK8" s="315">
        <f t="shared" ca="1" si="1"/>
        <v>300.5</v>
      </c>
      <c r="AL8" s="315">
        <f t="shared" ca="1" si="2"/>
        <v>300.5</v>
      </c>
      <c r="AM8" s="315">
        <f t="shared" ca="1" si="3"/>
        <v>300.5</v>
      </c>
    </row>
    <row r="9" spans="1:39" s="166" customFormat="1" outlineLevel="1" x14ac:dyDescent="0.25">
      <c r="C9" s="121"/>
      <c r="D9" s="121"/>
      <c r="E9" s="121"/>
      <c r="F9" s="121"/>
      <c r="G9" s="121"/>
      <c r="H9" s="121"/>
      <c r="I9" s="121"/>
      <c r="J9" s="121"/>
      <c r="K9" s="121"/>
      <c r="L9" s="121"/>
      <c r="M9" s="121"/>
      <c r="N9" s="121"/>
      <c r="O9" s="121"/>
      <c r="P9" s="121"/>
      <c r="Q9" s="121"/>
      <c r="R9" s="121"/>
      <c r="S9" s="121"/>
      <c r="T9" s="121"/>
      <c r="U9" s="121"/>
      <c r="V9" s="121"/>
      <c r="W9" s="121"/>
      <c r="X9" s="121"/>
      <c r="Y9" s="121"/>
      <c r="Z9" s="121"/>
      <c r="AA9" s="121"/>
      <c r="AC9" s="200" t="s">
        <v>200</v>
      </c>
      <c r="AD9" s="200" t="s">
        <v>201</v>
      </c>
      <c r="AE9" s="200" t="str">
        <f t="shared" si="4"/>
        <v>'Usos Electricidad'!$K:$K</v>
      </c>
      <c r="AF9" s="200" t="str">
        <f t="shared" si="4"/>
        <v>'Usos Electricidad'!$L:$L</v>
      </c>
      <c r="AH9" s="215" t="s">
        <v>176</v>
      </c>
      <c r="AI9" s="215" t="s">
        <v>303</v>
      </c>
      <c r="AJ9" s="215">
        <f t="shared" si="0"/>
        <v>61</v>
      </c>
      <c r="AK9" s="315">
        <f t="shared" ca="1" si="1"/>
        <v>350.5</v>
      </c>
      <c r="AL9" s="315">
        <f t="shared" ca="1" si="2"/>
        <v>350.5</v>
      </c>
      <c r="AM9" s="315">
        <f t="shared" ca="1" si="3"/>
        <v>350.5</v>
      </c>
    </row>
    <row r="10" spans="1:39" s="166" customFormat="1" outlineLevel="1" x14ac:dyDescent="0.25">
      <c r="C10" s="121"/>
      <c r="D10" s="121"/>
      <c r="E10" s="121"/>
      <c r="F10" s="121"/>
      <c r="G10" s="121"/>
      <c r="H10" s="121"/>
      <c r="I10" s="121"/>
      <c r="J10" s="121"/>
      <c r="K10" s="121"/>
      <c r="L10" s="121"/>
      <c r="M10" s="121"/>
      <c r="N10" s="121"/>
      <c r="O10" s="121"/>
      <c r="P10" s="121"/>
      <c r="Q10" s="121"/>
      <c r="R10" s="121"/>
      <c r="S10" s="121"/>
      <c r="T10" s="121"/>
      <c r="U10" s="121"/>
      <c r="V10" s="121"/>
      <c r="W10" s="121"/>
      <c r="X10" s="121"/>
      <c r="Y10" s="121"/>
      <c r="Z10" s="121"/>
      <c r="AA10" s="121"/>
      <c r="AC10" s="200" t="s">
        <v>214</v>
      </c>
      <c r="AD10" s="200" t="s">
        <v>215</v>
      </c>
      <c r="AE10" s="200" t="str">
        <f t="shared" si="4"/>
        <v>'Usos Electricidad'!$o:$o</v>
      </c>
      <c r="AF10" s="200" t="str">
        <f t="shared" si="4"/>
        <v>'Usos Electricidad'!$p:$p</v>
      </c>
      <c r="AH10" s="215" t="s">
        <v>176</v>
      </c>
      <c r="AI10" s="215" t="s">
        <v>304</v>
      </c>
      <c r="AJ10" s="215">
        <f t="shared" si="0"/>
        <v>68</v>
      </c>
      <c r="AK10" s="315">
        <f t="shared" ca="1" si="1"/>
        <v>300.5</v>
      </c>
      <c r="AL10" s="315">
        <f t="shared" ca="1" si="2"/>
        <v>300.5</v>
      </c>
      <c r="AM10" s="315">
        <f t="shared" ca="1" si="3"/>
        <v>300.5</v>
      </c>
    </row>
    <row r="11" spans="1:39" s="166" customFormat="1" outlineLevel="1" x14ac:dyDescent="0.25">
      <c r="C11" s="121"/>
      <c r="D11" s="121"/>
      <c r="E11" s="121"/>
      <c r="F11" s="121"/>
      <c r="G11" s="121"/>
      <c r="H11" s="121"/>
      <c r="I11" s="121"/>
      <c r="J11" s="121"/>
      <c r="K11" s="121"/>
      <c r="L11" s="121"/>
      <c r="M11" s="121"/>
      <c r="N11" s="121"/>
      <c r="O11" s="121"/>
      <c r="P11" s="121"/>
      <c r="Q11" s="121"/>
      <c r="R11" s="121"/>
      <c r="S11" s="121"/>
      <c r="T11" s="121"/>
      <c r="U11" s="121"/>
      <c r="V11" s="121"/>
      <c r="W11" s="121"/>
      <c r="X11" s="121"/>
      <c r="Y11" s="121"/>
      <c r="Z11" s="121"/>
      <c r="AA11" s="121"/>
      <c r="AC11" s="200" t="s">
        <v>216</v>
      </c>
      <c r="AD11" s="200" t="s">
        <v>217</v>
      </c>
      <c r="AE11" s="200" t="str">
        <f>CONCATENATE("'Usos Electricidad'!$",AC11,":$",AC11)</f>
        <v>'Usos Electricidad'!$q:$q</v>
      </c>
      <c r="AF11" s="200" t="str">
        <f>CONCATENATE("'Usos Electricidad'!$",AD11,":$",AD11)</f>
        <v>'Usos Electricidad'!$r:$r</v>
      </c>
      <c r="AI11" s="428" t="s">
        <v>676</v>
      </c>
      <c r="AJ11" s="428"/>
      <c r="AK11" s="316">
        <f ca="1">MAX(AK3:AK10)</f>
        <v>450.65</v>
      </c>
      <c r="AL11" s="316">
        <f ca="1">MAX(AL4:AL5,AL8:AL9)</f>
        <v>450.65</v>
      </c>
      <c r="AM11" s="316">
        <f ca="1">MAX(AM4:AM5,AM8:AM9)</f>
        <v>406.95</v>
      </c>
    </row>
    <row r="12" spans="1:39" s="166" customFormat="1" outlineLevel="1" x14ac:dyDescent="0.25">
      <c r="C12" s="121"/>
      <c r="D12" s="121"/>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C12" s="200" t="s">
        <v>218</v>
      </c>
      <c r="AD12" s="200" t="s">
        <v>219</v>
      </c>
      <c r="AE12" s="200" t="str">
        <f>CONCATENATE("'Usos Electricidad'!$",AC12,":$",AC12)</f>
        <v>'Usos Electricidad'!$s:$s</v>
      </c>
      <c r="AF12" s="200" t="str">
        <f>CONCATENATE("'Usos Electricidad'!$",AD12,":$",AD12)</f>
        <v>'Usos Electricidad'!$t:$t</v>
      </c>
    </row>
    <row r="13" spans="1:39" s="166" customFormat="1" outlineLevel="1" x14ac:dyDescent="0.25">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K13"/>
      <c r="AL13"/>
      <c r="AM13"/>
    </row>
    <row r="14" spans="1:39" x14ac:dyDescent="0.25">
      <c r="B14" s="122" t="s">
        <v>305</v>
      </c>
      <c r="AK14" s="35"/>
      <c r="AL14" s="35"/>
      <c r="AM14" s="35"/>
    </row>
    <row r="15" spans="1:39" s="35" customFormat="1" x14ac:dyDescent="0.25">
      <c r="A15" s="166"/>
      <c r="B15" s="214" t="s">
        <v>191</v>
      </c>
      <c r="C15" s="216">
        <v>0</v>
      </c>
      <c r="D15" s="216">
        <v>1</v>
      </c>
      <c r="E15" s="216">
        <v>2</v>
      </c>
      <c r="F15" s="216">
        <v>3</v>
      </c>
      <c r="G15" s="216">
        <v>4</v>
      </c>
      <c r="H15" s="216">
        <v>5</v>
      </c>
      <c r="I15" s="216">
        <v>6</v>
      </c>
      <c r="J15" s="216">
        <v>7</v>
      </c>
      <c r="K15" s="216">
        <v>8</v>
      </c>
      <c r="L15" s="216">
        <v>9</v>
      </c>
      <c r="M15" s="216">
        <v>10</v>
      </c>
      <c r="N15" s="216">
        <v>11</v>
      </c>
      <c r="O15" s="216">
        <v>12</v>
      </c>
      <c r="P15" s="216">
        <v>13</v>
      </c>
      <c r="Q15" s="216">
        <v>14</v>
      </c>
      <c r="R15" s="216">
        <v>15</v>
      </c>
      <c r="S15" s="216">
        <v>16</v>
      </c>
      <c r="T15" s="216">
        <v>17</v>
      </c>
      <c r="U15" s="216">
        <v>18</v>
      </c>
      <c r="V15" s="216">
        <v>19</v>
      </c>
      <c r="W15" s="216">
        <v>20</v>
      </c>
      <c r="X15" s="216">
        <v>21</v>
      </c>
      <c r="Y15" s="216">
        <v>22</v>
      </c>
      <c r="Z15" s="216">
        <v>23</v>
      </c>
      <c r="AA15" s="216">
        <v>24</v>
      </c>
      <c r="AJ15" s="166"/>
      <c r="AK15"/>
      <c r="AL15"/>
      <c r="AM15"/>
    </row>
    <row r="16" spans="1:39" x14ac:dyDescent="0.25">
      <c r="B16" s="215" t="s">
        <v>224</v>
      </c>
      <c r="C16" s="217">
        <f t="shared" ref="C16:Z16" ca="1" si="5">SUMIFS(INDIRECT($AE$3),INDIRECT($AE7),C$2,INDIRECT($AF7),C$3)</f>
        <v>250.5</v>
      </c>
      <c r="D16" s="217">
        <f t="shared" ca="1" si="5"/>
        <v>250.5</v>
      </c>
      <c r="E16" s="217">
        <f t="shared" ca="1" si="5"/>
        <v>250.5</v>
      </c>
      <c r="F16" s="217">
        <f t="shared" ca="1" si="5"/>
        <v>250.5</v>
      </c>
      <c r="G16" s="217">
        <f t="shared" ca="1" si="5"/>
        <v>250.5</v>
      </c>
      <c r="H16" s="217">
        <f t="shared" ca="1" si="5"/>
        <v>250.5</v>
      </c>
      <c r="I16" s="217">
        <f t="shared" ca="1" si="5"/>
        <v>250.5</v>
      </c>
      <c r="J16" s="217">
        <f t="shared" ca="1" si="5"/>
        <v>250.5</v>
      </c>
      <c r="K16" s="217">
        <f t="shared" ca="1" si="5"/>
        <v>250.5</v>
      </c>
      <c r="L16" s="217">
        <f t="shared" ca="1" si="5"/>
        <v>196.36</v>
      </c>
      <c r="M16" s="217">
        <f t="shared" ca="1" si="5"/>
        <v>196.36</v>
      </c>
      <c r="N16" s="217">
        <f t="shared" ca="1" si="5"/>
        <v>446.36</v>
      </c>
      <c r="O16" s="217">
        <f t="shared" ca="1" si="5"/>
        <v>446.36</v>
      </c>
      <c r="P16" s="217">
        <f t="shared" ca="1" si="5"/>
        <v>396.36</v>
      </c>
      <c r="Q16" s="217">
        <f t="shared" ca="1" si="5"/>
        <v>396.36</v>
      </c>
      <c r="R16" s="217">
        <f t="shared" ca="1" si="5"/>
        <v>396.36</v>
      </c>
      <c r="S16" s="217">
        <f t="shared" ca="1" si="5"/>
        <v>146.36000000000001</v>
      </c>
      <c r="T16" s="217">
        <f t="shared" ca="1" si="5"/>
        <v>146.36000000000001</v>
      </c>
      <c r="U16" s="217">
        <f t="shared" ca="1" si="5"/>
        <v>109.66</v>
      </c>
      <c r="V16" s="217">
        <f t="shared" ca="1" si="5"/>
        <v>109.66</v>
      </c>
      <c r="W16" s="217">
        <f t="shared" ca="1" si="5"/>
        <v>109.66</v>
      </c>
      <c r="X16" s="217">
        <f t="shared" ca="1" si="5"/>
        <v>109.66</v>
      </c>
      <c r="Y16" s="217">
        <f t="shared" ca="1" si="5"/>
        <v>109.66</v>
      </c>
      <c r="Z16" s="217">
        <f t="shared" ca="1" si="5"/>
        <v>109.66</v>
      </c>
      <c r="AA16" s="217">
        <f ca="1">SUMIFS(INDIRECT($AE$3),INDIRECT($AE7),AA$2,INDIRECT($AF7),AA$3)</f>
        <v>109.66</v>
      </c>
      <c r="AK16" s="35"/>
      <c r="AL16" s="35"/>
      <c r="AM16" s="35"/>
    </row>
    <row r="17" spans="1:39" s="35" customFormat="1" x14ac:dyDescent="0.25">
      <c r="A17" s="166"/>
      <c r="B17" s="215" t="s">
        <v>225</v>
      </c>
      <c r="C17" s="217">
        <f t="shared" ref="C17:AA17" ca="1" si="6">SUMIFS(INDIRECT($AE$3),INDIRECT($AE8),C$2,INDIRECT($AF8),C$3)</f>
        <v>0</v>
      </c>
      <c r="D17" s="217">
        <f t="shared" ca="1" si="6"/>
        <v>0</v>
      </c>
      <c r="E17" s="217">
        <f t="shared" ca="1" si="6"/>
        <v>0</v>
      </c>
      <c r="F17" s="217">
        <f t="shared" ca="1" si="6"/>
        <v>0</v>
      </c>
      <c r="G17" s="217">
        <f t="shared" ca="1" si="6"/>
        <v>0</v>
      </c>
      <c r="H17" s="217">
        <f t="shared" ca="1" si="6"/>
        <v>0</v>
      </c>
      <c r="I17" s="217">
        <f t="shared" ca="1" si="6"/>
        <v>0</v>
      </c>
      <c r="J17" s="217">
        <f t="shared" ca="1" si="6"/>
        <v>0</v>
      </c>
      <c r="K17" s="217">
        <f t="shared" ca="1" si="6"/>
        <v>0</v>
      </c>
      <c r="L17" s="217">
        <f t="shared" ca="1" si="6"/>
        <v>0</v>
      </c>
      <c r="M17" s="217">
        <f t="shared" ca="1" si="6"/>
        <v>0</v>
      </c>
      <c r="N17" s="217">
        <f t="shared" ca="1" si="6"/>
        <v>0</v>
      </c>
      <c r="O17" s="217">
        <f t="shared" ca="1" si="6"/>
        <v>0</v>
      </c>
      <c r="P17" s="217">
        <f t="shared" ca="1" si="6"/>
        <v>0</v>
      </c>
      <c r="Q17" s="217">
        <f t="shared" ca="1" si="6"/>
        <v>50</v>
      </c>
      <c r="R17" s="217">
        <f t="shared" ca="1" si="6"/>
        <v>50</v>
      </c>
      <c r="S17" s="217">
        <f t="shared" ca="1" si="6"/>
        <v>50</v>
      </c>
      <c r="T17" s="217">
        <f t="shared" ca="1" si="6"/>
        <v>200</v>
      </c>
      <c r="U17" s="217">
        <f t="shared" ca="1" si="6"/>
        <v>150</v>
      </c>
      <c r="V17" s="217">
        <f t="shared" ca="1" si="6"/>
        <v>150</v>
      </c>
      <c r="W17" s="217">
        <f t="shared" ca="1" si="6"/>
        <v>150</v>
      </c>
      <c r="X17" s="217">
        <f t="shared" ca="1" si="6"/>
        <v>150</v>
      </c>
      <c r="Y17" s="217">
        <f t="shared" ca="1" si="6"/>
        <v>150</v>
      </c>
      <c r="Z17" s="217">
        <f t="shared" ca="1" si="6"/>
        <v>150</v>
      </c>
      <c r="AA17" s="217">
        <f t="shared" ca="1" si="6"/>
        <v>150</v>
      </c>
      <c r="AJ17" s="166"/>
    </row>
    <row r="18" spans="1:39" s="35" customFormat="1" x14ac:dyDescent="0.25">
      <c r="A18" s="166"/>
      <c r="B18" s="215" t="s">
        <v>226</v>
      </c>
      <c r="C18" s="217">
        <f t="shared" ref="C18:AA18" ca="1" si="7">SUMIFS(INDIRECT($AE$3),INDIRECT($AE9),C$2,INDIRECT($AF9),C$3)</f>
        <v>0</v>
      </c>
      <c r="D18" s="217">
        <f t="shared" ca="1" si="7"/>
        <v>0</v>
      </c>
      <c r="E18" s="217">
        <f t="shared" ca="1" si="7"/>
        <v>0</v>
      </c>
      <c r="F18" s="217">
        <f t="shared" ca="1" si="7"/>
        <v>0</v>
      </c>
      <c r="G18" s="217">
        <f t="shared" ca="1" si="7"/>
        <v>0</v>
      </c>
      <c r="H18" s="217">
        <f t="shared" ca="1" si="7"/>
        <v>0</v>
      </c>
      <c r="I18" s="217">
        <f t="shared" ca="1" si="7"/>
        <v>0</v>
      </c>
      <c r="J18" s="217">
        <f t="shared" ca="1" si="7"/>
        <v>0</v>
      </c>
      <c r="K18" s="217">
        <f t="shared" ca="1" si="7"/>
        <v>0</v>
      </c>
      <c r="L18" s="217">
        <f t="shared" ca="1" si="7"/>
        <v>0</v>
      </c>
      <c r="M18" s="217">
        <f t="shared" ca="1" si="7"/>
        <v>0</v>
      </c>
      <c r="N18" s="217">
        <f t="shared" ca="1" si="7"/>
        <v>0</v>
      </c>
      <c r="O18" s="217">
        <f t="shared" ca="1" si="7"/>
        <v>0</v>
      </c>
      <c r="P18" s="217">
        <f t="shared" ca="1" si="7"/>
        <v>0</v>
      </c>
      <c r="Q18" s="217">
        <f t="shared" ca="1" si="7"/>
        <v>0</v>
      </c>
      <c r="R18" s="217">
        <f t="shared" ca="1" si="7"/>
        <v>0</v>
      </c>
      <c r="S18" s="217">
        <f t="shared" ca="1" si="7"/>
        <v>0</v>
      </c>
      <c r="T18" s="217">
        <f t="shared" ca="1" si="7"/>
        <v>0</v>
      </c>
      <c r="U18" s="217">
        <f t="shared" ca="1" si="7"/>
        <v>0</v>
      </c>
      <c r="V18" s="217">
        <f t="shared" ca="1" si="7"/>
        <v>50</v>
      </c>
      <c r="W18" s="217">
        <f t="shared" ca="1" si="7"/>
        <v>50</v>
      </c>
      <c r="X18" s="217">
        <f t="shared" ca="1" si="7"/>
        <v>50</v>
      </c>
      <c r="Y18" s="217">
        <f t="shared" ca="1" si="7"/>
        <v>50</v>
      </c>
      <c r="Z18" s="217">
        <f t="shared" ca="1" si="7"/>
        <v>50</v>
      </c>
      <c r="AA18" s="217">
        <f t="shared" ca="1" si="7"/>
        <v>50</v>
      </c>
      <c r="AJ18" s="166"/>
      <c r="AK18"/>
      <c r="AL18"/>
      <c r="AM18"/>
    </row>
    <row r="19" spans="1:39" x14ac:dyDescent="0.25">
      <c r="B19" s="214" t="str">
        <f>CONCATENATE("Total ",B14)</f>
        <v>Total Perfil 1 Verano</v>
      </c>
      <c r="C19" s="218">
        <f t="shared" ref="C19:AA19" ca="1" si="8">SUM(C16:C18)</f>
        <v>250.5</v>
      </c>
      <c r="D19" s="218">
        <f t="shared" ca="1" si="8"/>
        <v>250.5</v>
      </c>
      <c r="E19" s="218">
        <f t="shared" ca="1" si="8"/>
        <v>250.5</v>
      </c>
      <c r="F19" s="218">
        <f t="shared" ca="1" si="8"/>
        <v>250.5</v>
      </c>
      <c r="G19" s="218">
        <f t="shared" ca="1" si="8"/>
        <v>250.5</v>
      </c>
      <c r="H19" s="218">
        <f t="shared" ca="1" si="8"/>
        <v>250.5</v>
      </c>
      <c r="I19" s="218">
        <f t="shared" ca="1" si="8"/>
        <v>250.5</v>
      </c>
      <c r="J19" s="218">
        <f t="shared" ca="1" si="8"/>
        <v>250.5</v>
      </c>
      <c r="K19" s="218">
        <f t="shared" ca="1" si="8"/>
        <v>250.5</v>
      </c>
      <c r="L19" s="218">
        <f t="shared" ca="1" si="8"/>
        <v>196.36</v>
      </c>
      <c r="M19" s="218">
        <f t="shared" ca="1" si="8"/>
        <v>196.36</v>
      </c>
      <c r="N19" s="218">
        <f t="shared" ca="1" si="8"/>
        <v>446.36</v>
      </c>
      <c r="O19" s="218">
        <f t="shared" ca="1" si="8"/>
        <v>446.36</v>
      </c>
      <c r="P19" s="218">
        <f t="shared" ca="1" si="8"/>
        <v>396.36</v>
      </c>
      <c r="Q19" s="218">
        <f t="shared" ca="1" si="8"/>
        <v>446.36</v>
      </c>
      <c r="R19" s="218">
        <f t="shared" ca="1" si="8"/>
        <v>446.36</v>
      </c>
      <c r="S19" s="218">
        <f t="shared" ca="1" si="8"/>
        <v>196.36</v>
      </c>
      <c r="T19" s="218">
        <f t="shared" ca="1" si="8"/>
        <v>346.36</v>
      </c>
      <c r="U19" s="218">
        <f t="shared" ca="1" si="8"/>
        <v>259.65999999999997</v>
      </c>
      <c r="V19" s="218">
        <f t="shared" ca="1" si="8"/>
        <v>309.65999999999997</v>
      </c>
      <c r="W19" s="218">
        <f t="shared" ca="1" si="8"/>
        <v>309.65999999999997</v>
      </c>
      <c r="X19" s="218">
        <f t="shared" ca="1" si="8"/>
        <v>309.65999999999997</v>
      </c>
      <c r="Y19" s="218">
        <f t="shared" ca="1" si="8"/>
        <v>309.65999999999997</v>
      </c>
      <c r="Z19" s="218">
        <f t="shared" ca="1" si="8"/>
        <v>309.65999999999997</v>
      </c>
      <c r="AA19" s="218">
        <f t="shared" ca="1" si="8"/>
        <v>309.65999999999997</v>
      </c>
    </row>
    <row r="20" spans="1:39" x14ac:dyDescent="0.25">
      <c r="AK20" s="166"/>
      <c r="AL20" s="166"/>
      <c r="AM20" s="166"/>
    </row>
    <row r="21" spans="1:39" s="166" customFormat="1" x14ac:dyDescent="0.25">
      <c r="B21" s="122" t="s">
        <v>307</v>
      </c>
      <c r="C21" s="121"/>
      <c r="D21" s="121"/>
      <c r="E21" s="121"/>
      <c r="F21" s="121"/>
      <c r="G21" s="121"/>
      <c r="H21" s="121"/>
      <c r="I21" s="121"/>
      <c r="J21" s="121"/>
      <c r="K21" s="121"/>
      <c r="L21" s="121"/>
      <c r="M21" s="121"/>
      <c r="N21" s="121"/>
      <c r="O21" s="121"/>
      <c r="P21" s="121"/>
      <c r="Q21" s="121"/>
      <c r="R21" s="121"/>
      <c r="S21" s="121"/>
      <c r="T21" s="121"/>
      <c r="U21" s="121"/>
      <c r="V21" s="121"/>
      <c r="W21" s="121"/>
      <c r="X21" s="121"/>
      <c r="Y21" s="121"/>
      <c r="Z21" s="121"/>
      <c r="AA21" s="121"/>
    </row>
    <row r="22" spans="1:39" s="166" customFormat="1" x14ac:dyDescent="0.25">
      <c r="B22" s="214" t="s">
        <v>191</v>
      </c>
      <c r="C22" s="216">
        <v>0</v>
      </c>
      <c r="D22" s="216">
        <v>1</v>
      </c>
      <c r="E22" s="216">
        <v>2</v>
      </c>
      <c r="F22" s="216">
        <v>3</v>
      </c>
      <c r="G22" s="216">
        <v>4</v>
      </c>
      <c r="H22" s="216">
        <v>5</v>
      </c>
      <c r="I22" s="216">
        <v>6</v>
      </c>
      <c r="J22" s="216">
        <v>7</v>
      </c>
      <c r="K22" s="216">
        <v>8</v>
      </c>
      <c r="L22" s="216">
        <v>9</v>
      </c>
      <c r="M22" s="216">
        <v>10</v>
      </c>
      <c r="N22" s="216">
        <v>11</v>
      </c>
      <c r="O22" s="216">
        <v>12</v>
      </c>
      <c r="P22" s="216">
        <v>13</v>
      </c>
      <c r="Q22" s="216">
        <v>14</v>
      </c>
      <c r="R22" s="216">
        <v>15</v>
      </c>
      <c r="S22" s="216">
        <v>16</v>
      </c>
      <c r="T22" s="216">
        <v>17</v>
      </c>
      <c r="U22" s="216">
        <v>18</v>
      </c>
      <c r="V22" s="216">
        <v>19</v>
      </c>
      <c r="W22" s="216">
        <v>20</v>
      </c>
      <c r="X22" s="216">
        <v>21</v>
      </c>
      <c r="Y22" s="216">
        <v>22</v>
      </c>
      <c r="Z22" s="216">
        <v>23</v>
      </c>
      <c r="AA22" s="216">
        <v>24</v>
      </c>
    </row>
    <row r="23" spans="1:39" s="166" customFormat="1" x14ac:dyDescent="0.25">
      <c r="B23" s="215" t="s">
        <v>224</v>
      </c>
      <c r="C23" s="217">
        <f t="shared" ref="C23:AA23" ca="1" si="9">SUMIFS(INDIRECT($AE$4),INDIRECT($AE7),C$2,INDIRECT($AF7),C$3)</f>
        <v>300.5</v>
      </c>
      <c r="D23" s="217">
        <f t="shared" ca="1" si="9"/>
        <v>300.5</v>
      </c>
      <c r="E23" s="217">
        <f t="shared" ca="1" si="9"/>
        <v>300.5</v>
      </c>
      <c r="F23" s="217">
        <f t="shared" ca="1" si="9"/>
        <v>300.5</v>
      </c>
      <c r="G23" s="217">
        <f t="shared" ca="1" si="9"/>
        <v>300.5</v>
      </c>
      <c r="H23" s="217">
        <f t="shared" ca="1" si="9"/>
        <v>300.5</v>
      </c>
      <c r="I23" s="217">
        <f t="shared" ca="1" si="9"/>
        <v>300.5</v>
      </c>
      <c r="J23" s="217">
        <f t="shared" ca="1" si="9"/>
        <v>300.5</v>
      </c>
      <c r="K23" s="217">
        <f t="shared" ca="1" si="9"/>
        <v>300.5</v>
      </c>
      <c r="L23" s="217">
        <f t="shared" ca="1" si="9"/>
        <v>188.005</v>
      </c>
      <c r="M23" s="217">
        <f t="shared" ca="1" si="9"/>
        <v>196.005</v>
      </c>
      <c r="N23" s="217">
        <f t="shared" ca="1" si="9"/>
        <v>271.005</v>
      </c>
      <c r="O23" s="217">
        <f t="shared" ca="1" si="9"/>
        <v>271.005</v>
      </c>
      <c r="P23" s="217">
        <f t="shared" ca="1" si="9"/>
        <v>226.005</v>
      </c>
      <c r="Q23" s="217">
        <f t="shared" ca="1" si="9"/>
        <v>226.005</v>
      </c>
      <c r="R23" s="217">
        <f t="shared" ca="1" si="9"/>
        <v>226.005</v>
      </c>
      <c r="S23" s="217">
        <f t="shared" ca="1" si="9"/>
        <v>151.005</v>
      </c>
      <c r="T23" s="217">
        <f t="shared" ca="1" si="9"/>
        <v>151.005</v>
      </c>
      <c r="U23" s="217">
        <f t="shared" ca="1" si="9"/>
        <v>110.80500000000001</v>
      </c>
      <c r="V23" s="217">
        <f t="shared" ca="1" si="9"/>
        <v>110.80500000000001</v>
      </c>
      <c r="W23" s="217">
        <f t="shared" ca="1" si="9"/>
        <v>110.80500000000001</v>
      </c>
      <c r="X23" s="217">
        <f t="shared" ca="1" si="9"/>
        <v>110.80500000000001</v>
      </c>
      <c r="Y23" s="217">
        <f t="shared" ca="1" si="9"/>
        <v>110.80500000000001</v>
      </c>
      <c r="Z23" s="217">
        <f t="shared" ca="1" si="9"/>
        <v>110.80500000000001</v>
      </c>
      <c r="AA23" s="217">
        <f t="shared" ca="1" si="9"/>
        <v>110.80500000000001</v>
      </c>
    </row>
    <row r="24" spans="1:39" s="166" customFormat="1" x14ac:dyDescent="0.25">
      <c r="B24" s="215" t="s">
        <v>225</v>
      </c>
      <c r="C24" s="217">
        <f t="shared" ref="C24:AA24" ca="1" si="10">SUMIFS(INDIRECT($AE$4),INDIRECT($AE8),C$2,INDIRECT($AF8),C$3)</f>
        <v>0</v>
      </c>
      <c r="D24" s="217">
        <f t="shared" ca="1" si="10"/>
        <v>0</v>
      </c>
      <c r="E24" s="217">
        <f t="shared" ca="1" si="10"/>
        <v>0</v>
      </c>
      <c r="F24" s="217">
        <f t="shared" ca="1" si="10"/>
        <v>0</v>
      </c>
      <c r="G24" s="217">
        <f t="shared" ca="1" si="10"/>
        <v>0</v>
      </c>
      <c r="H24" s="217">
        <f t="shared" ca="1" si="10"/>
        <v>0</v>
      </c>
      <c r="I24" s="217">
        <f t="shared" ca="1" si="10"/>
        <v>0</v>
      </c>
      <c r="J24" s="217">
        <f t="shared" ca="1" si="10"/>
        <v>0</v>
      </c>
      <c r="K24" s="217">
        <f t="shared" ca="1" si="10"/>
        <v>0</v>
      </c>
      <c r="L24" s="217">
        <f t="shared" ca="1" si="10"/>
        <v>0</v>
      </c>
      <c r="M24" s="217">
        <f t="shared" ca="1" si="10"/>
        <v>0</v>
      </c>
      <c r="N24" s="217">
        <f t="shared" ca="1" si="10"/>
        <v>0</v>
      </c>
      <c r="O24" s="217">
        <f t="shared" ca="1" si="10"/>
        <v>0</v>
      </c>
      <c r="P24" s="217">
        <f t="shared" ca="1" si="10"/>
        <v>0</v>
      </c>
      <c r="Q24" s="217">
        <f t="shared" ca="1" si="10"/>
        <v>45</v>
      </c>
      <c r="R24" s="217">
        <f t="shared" ca="1" si="10"/>
        <v>45</v>
      </c>
      <c r="S24" s="217">
        <f t="shared" ca="1" si="10"/>
        <v>45</v>
      </c>
      <c r="T24" s="217">
        <f t="shared" ca="1" si="10"/>
        <v>245</v>
      </c>
      <c r="U24" s="217">
        <f t="shared" ca="1" si="10"/>
        <v>200</v>
      </c>
      <c r="V24" s="217">
        <f t="shared" ca="1" si="10"/>
        <v>200</v>
      </c>
      <c r="W24" s="217">
        <f t="shared" ca="1" si="10"/>
        <v>200</v>
      </c>
      <c r="X24" s="217">
        <f t="shared" ca="1" si="10"/>
        <v>200</v>
      </c>
      <c r="Y24" s="217">
        <f t="shared" ca="1" si="10"/>
        <v>200</v>
      </c>
      <c r="Z24" s="217">
        <f t="shared" ca="1" si="10"/>
        <v>200</v>
      </c>
      <c r="AA24" s="217">
        <f t="shared" ca="1" si="10"/>
        <v>200</v>
      </c>
    </row>
    <row r="25" spans="1:39" s="166" customFormat="1" x14ac:dyDescent="0.25">
      <c r="B25" s="215" t="s">
        <v>226</v>
      </c>
      <c r="C25" s="217">
        <f t="shared" ref="C25:AA25" ca="1" si="11">SUMIFS(INDIRECT($AE$4),INDIRECT($AE9),C$2,INDIRECT($AF9),C$3)</f>
        <v>0</v>
      </c>
      <c r="D25" s="217">
        <f t="shared" ca="1" si="11"/>
        <v>0</v>
      </c>
      <c r="E25" s="217">
        <f t="shared" ca="1" si="11"/>
        <v>0</v>
      </c>
      <c r="F25" s="217">
        <f t="shared" ca="1" si="11"/>
        <v>0</v>
      </c>
      <c r="G25" s="217">
        <f t="shared" ca="1" si="11"/>
        <v>0</v>
      </c>
      <c r="H25" s="217">
        <f t="shared" ca="1" si="11"/>
        <v>0</v>
      </c>
      <c r="I25" s="217">
        <f t="shared" ca="1" si="11"/>
        <v>0</v>
      </c>
      <c r="J25" s="217">
        <f t="shared" ca="1" si="11"/>
        <v>0</v>
      </c>
      <c r="K25" s="217">
        <f t="shared" ca="1" si="11"/>
        <v>0</v>
      </c>
      <c r="L25" s="217">
        <f t="shared" ca="1" si="11"/>
        <v>0</v>
      </c>
      <c r="M25" s="217">
        <f t="shared" ca="1" si="11"/>
        <v>0</v>
      </c>
      <c r="N25" s="217">
        <f t="shared" ca="1" si="11"/>
        <v>0</v>
      </c>
      <c r="O25" s="217">
        <f t="shared" ca="1" si="11"/>
        <v>0</v>
      </c>
      <c r="P25" s="217">
        <f t="shared" ca="1" si="11"/>
        <v>0</v>
      </c>
      <c r="Q25" s="217">
        <f t="shared" ca="1" si="11"/>
        <v>0</v>
      </c>
      <c r="R25" s="217">
        <f t="shared" ca="1" si="11"/>
        <v>0</v>
      </c>
      <c r="S25" s="217">
        <f t="shared" ca="1" si="11"/>
        <v>0</v>
      </c>
      <c r="T25" s="217">
        <f t="shared" ca="1" si="11"/>
        <v>0</v>
      </c>
      <c r="U25" s="217">
        <f t="shared" ca="1" si="11"/>
        <v>0</v>
      </c>
      <c r="V25" s="217">
        <f t="shared" ca="1" si="11"/>
        <v>45</v>
      </c>
      <c r="W25" s="217">
        <f t="shared" ca="1" si="11"/>
        <v>45</v>
      </c>
      <c r="X25" s="217">
        <f t="shared" ca="1" si="11"/>
        <v>45</v>
      </c>
      <c r="Y25" s="217">
        <f t="shared" ca="1" si="11"/>
        <v>45</v>
      </c>
      <c r="Z25" s="217">
        <f t="shared" ca="1" si="11"/>
        <v>45</v>
      </c>
      <c r="AA25" s="217">
        <f t="shared" ca="1" si="11"/>
        <v>45</v>
      </c>
    </row>
    <row r="26" spans="1:39" s="166" customFormat="1" x14ac:dyDescent="0.25">
      <c r="B26" s="214" t="str">
        <f>CONCATENATE("Total ",B21)</f>
        <v>Total Perfil 1 Otoño</v>
      </c>
      <c r="C26" s="218">
        <f t="shared" ref="C26:AA26" ca="1" si="12">SUM(C23:C25)</f>
        <v>300.5</v>
      </c>
      <c r="D26" s="218">
        <f t="shared" ca="1" si="12"/>
        <v>300.5</v>
      </c>
      <c r="E26" s="218">
        <f t="shared" ca="1" si="12"/>
        <v>300.5</v>
      </c>
      <c r="F26" s="218">
        <f t="shared" ca="1" si="12"/>
        <v>300.5</v>
      </c>
      <c r="G26" s="218">
        <f t="shared" ca="1" si="12"/>
        <v>300.5</v>
      </c>
      <c r="H26" s="218">
        <f t="shared" ca="1" si="12"/>
        <v>300.5</v>
      </c>
      <c r="I26" s="218">
        <f t="shared" ca="1" si="12"/>
        <v>300.5</v>
      </c>
      <c r="J26" s="218">
        <f t="shared" ca="1" si="12"/>
        <v>300.5</v>
      </c>
      <c r="K26" s="218">
        <f t="shared" ca="1" si="12"/>
        <v>300.5</v>
      </c>
      <c r="L26" s="218">
        <f t="shared" ca="1" si="12"/>
        <v>188.005</v>
      </c>
      <c r="M26" s="218">
        <f t="shared" ca="1" si="12"/>
        <v>196.005</v>
      </c>
      <c r="N26" s="218">
        <f t="shared" ca="1" si="12"/>
        <v>271.005</v>
      </c>
      <c r="O26" s="218">
        <f t="shared" ca="1" si="12"/>
        <v>271.005</v>
      </c>
      <c r="P26" s="218">
        <f t="shared" ca="1" si="12"/>
        <v>226.005</v>
      </c>
      <c r="Q26" s="218">
        <f t="shared" ca="1" si="12"/>
        <v>271.005</v>
      </c>
      <c r="R26" s="218">
        <f t="shared" ca="1" si="12"/>
        <v>271.005</v>
      </c>
      <c r="S26" s="218">
        <f t="shared" ca="1" si="12"/>
        <v>196.005</v>
      </c>
      <c r="T26" s="218">
        <f t="shared" ca="1" si="12"/>
        <v>396.005</v>
      </c>
      <c r="U26" s="218">
        <f t="shared" ca="1" si="12"/>
        <v>310.80500000000001</v>
      </c>
      <c r="V26" s="218">
        <f t="shared" ca="1" si="12"/>
        <v>355.80500000000001</v>
      </c>
      <c r="W26" s="218">
        <f t="shared" ca="1" si="12"/>
        <v>355.80500000000001</v>
      </c>
      <c r="X26" s="218">
        <f t="shared" ca="1" si="12"/>
        <v>355.80500000000001</v>
      </c>
      <c r="Y26" s="218">
        <f t="shared" ca="1" si="12"/>
        <v>355.80500000000001</v>
      </c>
      <c r="Z26" s="218">
        <f t="shared" ca="1" si="12"/>
        <v>355.80500000000001</v>
      </c>
      <c r="AA26" s="218">
        <f t="shared" ca="1" si="12"/>
        <v>355.80500000000001</v>
      </c>
    </row>
    <row r="27" spans="1:39" s="166" customFormat="1" x14ac:dyDescent="0.25">
      <c r="C27" s="121"/>
      <c r="D27" s="121"/>
      <c r="E27" s="121"/>
      <c r="F27" s="121"/>
      <c r="G27" s="121"/>
      <c r="H27" s="121"/>
      <c r="I27" s="121"/>
      <c r="J27" s="121"/>
      <c r="K27" s="121"/>
      <c r="L27" s="121"/>
      <c r="M27" s="121"/>
      <c r="N27" s="121"/>
      <c r="O27" s="121"/>
      <c r="P27" s="121"/>
      <c r="Q27" s="121"/>
      <c r="R27" s="121"/>
      <c r="S27" s="121"/>
      <c r="T27" s="121"/>
      <c r="U27" s="121"/>
      <c r="V27" s="121"/>
      <c r="W27" s="121"/>
      <c r="X27" s="121"/>
      <c r="Y27" s="121"/>
      <c r="Z27" s="121"/>
      <c r="AA27" s="121"/>
    </row>
    <row r="28" spans="1:39" s="166" customFormat="1" x14ac:dyDescent="0.25">
      <c r="B28" s="122" t="s">
        <v>308</v>
      </c>
      <c r="C28" s="121"/>
      <c r="D28" s="121"/>
      <c r="E28" s="121"/>
      <c r="F28" s="121"/>
      <c r="G28" s="121"/>
      <c r="H28" s="121"/>
      <c r="I28" s="121"/>
      <c r="J28" s="121"/>
      <c r="K28" s="121"/>
      <c r="L28" s="121"/>
      <c r="M28" s="121"/>
      <c r="N28" s="121"/>
      <c r="O28" s="121"/>
      <c r="P28" s="121"/>
      <c r="Q28" s="121"/>
      <c r="R28" s="121"/>
      <c r="S28" s="121"/>
      <c r="T28" s="121"/>
      <c r="U28" s="121"/>
      <c r="V28" s="121"/>
      <c r="W28" s="121"/>
      <c r="X28" s="121"/>
      <c r="Y28" s="121"/>
      <c r="Z28" s="121"/>
      <c r="AA28" s="121"/>
    </row>
    <row r="29" spans="1:39" s="166" customFormat="1" x14ac:dyDescent="0.25">
      <c r="B29" s="214" t="s">
        <v>191</v>
      </c>
      <c r="C29" s="216">
        <v>0</v>
      </c>
      <c r="D29" s="216">
        <v>1</v>
      </c>
      <c r="E29" s="216">
        <v>2</v>
      </c>
      <c r="F29" s="216">
        <v>3</v>
      </c>
      <c r="G29" s="216">
        <v>4</v>
      </c>
      <c r="H29" s="216">
        <v>5</v>
      </c>
      <c r="I29" s="216">
        <v>6</v>
      </c>
      <c r="J29" s="216">
        <v>7</v>
      </c>
      <c r="K29" s="216">
        <v>8</v>
      </c>
      <c r="L29" s="216">
        <v>9</v>
      </c>
      <c r="M29" s="216">
        <v>10</v>
      </c>
      <c r="N29" s="216">
        <v>11</v>
      </c>
      <c r="O29" s="216">
        <v>12</v>
      </c>
      <c r="P29" s="216">
        <v>13</v>
      </c>
      <c r="Q29" s="216">
        <v>14</v>
      </c>
      <c r="R29" s="216">
        <v>15</v>
      </c>
      <c r="S29" s="216">
        <v>16</v>
      </c>
      <c r="T29" s="216">
        <v>17</v>
      </c>
      <c r="U29" s="216">
        <v>18</v>
      </c>
      <c r="V29" s="216">
        <v>19</v>
      </c>
      <c r="W29" s="216">
        <v>20</v>
      </c>
      <c r="X29" s="216">
        <v>21</v>
      </c>
      <c r="Y29" s="216">
        <v>22</v>
      </c>
      <c r="Z29" s="216">
        <v>23</v>
      </c>
      <c r="AA29" s="216">
        <v>24</v>
      </c>
    </row>
    <row r="30" spans="1:39" s="166" customFormat="1" x14ac:dyDescent="0.25">
      <c r="B30" s="215" t="s">
        <v>224</v>
      </c>
      <c r="C30" s="217">
        <f t="shared" ref="C30:AA30" ca="1" si="13">SUMIFS(INDIRECT($AE$5),INDIRECT($AE7),C$2,INDIRECT($AF7),C$3)</f>
        <v>350.5</v>
      </c>
      <c r="D30" s="217">
        <f t="shared" ca="1" si="13"/>
        <v>350.5</v>
      </c>
      <c r="E30" s="217">
        <f t="shared" ca="1" si="13"/>
        <v>350.5</v>
      </c>
      <c r="F30" s="217">
        <f t="shared" ca="1" si="13"/>
        <v>350.5</v>
      </c>
      <c r="G30" s="217">
        <f t="shared" ca="1" si="13"/>
        <v>350.5</v>
      </c>
      <c r="H30" s="217">
        <f t="shared" ca="1" si="13"/>
        <v>350.5</v>
      </c>
      <c r="I30" s="217">
        <f t="shared" ca="1" si="13"/>
        <v>350.5</v>
      </c>
      <c r="J30" s="217">
        <f t="shared" ca="1" si="13"/>
        <v>350.5</v>
      </c>
      <c r="K30" s="217">
        <f t="shared" ca="1" si="13"/>
        <v>350.5</v>
      </c>
      <c r="L30" s="217">
        <f t="shared" ca="1" si="13"/>
        <v>184.65</v>
      </c>
      <c r="M30" s="217">
        <f t="shared" ca="1" si="13"/>
        <v>200.65</v>
      </c>
      <c r="N30" s="217">
        <f t="shared" ca="1" si="13"/>
        <v>200.65</v>
      </c>
      <c r="O30" s="217">
        <f t="shared" ca="1" si="13"/>
        <v>200.65</v>
      </c>
      <c r="P30" s="217">
        <f t="shared" ca="1" si="13"/>
        <v>155.65</v>
      </c>
      <c r="Q30" s="217">
        <f t="shared" ca="1" si="13"/>
        <v>155.65</v>
      </c>
      <c r="R30" s="217">
        <f t="shared" ca="1" si="13"/>
        <v>155.65</v>
      </c>
      <c r="S30" s="217">
        <f t="shared" ca="1" si="13"/>
        <v>155.65</v>
      </c>
      <c r="T30" s="217">
        <f t="shared" ca="1" si="13"/>
        <v>155.65</v>
      </c>
      <c r="U30" s="217">
        <f t="shared" ca="1" si="13"/>
        <v>111.95</v>
      </c>
      <c r="V30" s="217">
        <f t="shared" ca="1" si="13"/>
        <v>111.95</v>
      </c>
      <c r="W30" s="217">
        <f t="shared" ca="1" si="13"/>
        <v>111.95</v>
      </c>
      <c r="X30" s="217">
        <f t="shared" ca="1" si="13"/>
        <v>111.95</v>
      </c>
      <c r="Y30" s="217">
        <f t="shared" ca="1" si="13"/>
        <v>111.95</v>
      </c>
      <c r="Z30" s="217">
        <f t="shared" ca="1" si="13"/>
        <v>111.95</v>
      </c>
      <c r="AA30" s="217">
        <f t="shared" ca="1" si="13"/>
        <v>111.95</v>
      </c>
    </row>
    <row r="31" spans="1:39" s="166" customFormat="1" x14ac:dyDescent="0.25">
      <c r="B31" s="215" t="s">
        <v>225</v>
      </c>
      <c r="C31" s="217">
        <f t="shared" ref="C31:AA31" ca="1" si="14">SUMIFS(INDIRECT($AE$5),INDIRECT($AE8),C$2,INDIRECT($AF8),C$3)</f>
        <v>0</v>
      </c>
      <c r="D31" s="217">
        <f t="shared" ca="1" si="14"/>
        <v>0</v>
      </c>
      <c r="E31" s="217">
        <f t="shared" ca="1" si="14"/>
        <v>0</v>
      </c>
      <c r="F31" s="217">
        <f t="shared" ca="1" si="14"/>
        <v>0</v>
      </c>
      <c r="G31" s="217">
        <f t="shared" ca="1" si="14"/>
        <v>0</v>
      </c>
      <c r="H31" s="217">
        <f t="shared" ca="1" si="14"/>
        <v>0</v>
      </c>
      <c r="I31" s="217">
        <f t="shared" ca="1" si="14"/>
        <v>0</v>
      </c>
      <c r="J31" s="217">
        <f t="shared" ca="1" si="14"/>
        <v>0</v>
      </c>
      <c r="K31" s="217">
        <f t="shared" ca="1" si="14"/>
        <v>0</v>
      </c>
      <c r="L31" s="217">
        <f t="shared" ca="1" si="14"/>
        <v>0</v>
      </c>
      <c r="M31" s="217">
        <f t="shared" ca="1" si="14"/>
        <v>0</v>
      </c>
      <c r="N31" s="217">
        <f t="shared" ca="1" si="14"/>
        <v>0</v>
      </c>
      <c r="O31" s="217">
        <f t="shared" ca="1" si="14"/>
        <v>0</v>
      </c>
      <c r="P31" s="217">
        <f t="shared" ca="1" si="14"/>
        <v>0</v>
      </c>
      <c r="Q31" s="217">
        <f t="shared" ca="1" si="14"/>
        <v>45</v>
      </c>
      <c r="R31" s="217">
        <f t="shared" ca="1" si="14"/>
        <v>45</v>
      </c>
      <c r="S31" s="217">
        <f t="shared" ca="1" si="14"/>
        <v>45</v>
      </c>
      <c r="T31" s="217">
        <f t="shared" ca="1" si="14"/>
        <v>295</v>
      </c>
      <c r="U31" s="217">
        <f t="shared" ca="1" si="14"/>
        <v>250</v>
      </c>
      <c r="V31" s="217">
        <f t="shared" ca="1" si="14"/>
        <v>250</v>
      </c>
      <c r="W31" s="217">
        <f t="shared" ca="1" si="14"/>
        <v>250</v>
      </c>
      <c r="X31" s="217">
        <f t="shared" ca="1" si="14"/>
        <v>250</v>
      </c>
      <c r="Y31" s="217">
        <f t="shared" ca="1" si="14"/>
        <v>250</v>
      </c>
      <c r="Z31" s="217">
        <f t="shared" ca="1" si="14"/>
        <v>250</v>
      </c>
      <c r="AA31" s="217">
        <f t="shared" ca="1" si="14"/>
        <v>250</v>
      </c>
    </row>
    <row r="32" spans="1:39" s="166" customFormat="1" x14ac:dyDescent="0.25">
      <c r="B32" s="215" t="s">
        <v>226</v>
      </c>
      <c r="C32" s="217">
        <f t="shared" ref="C32:AA32" ca="1" si="15">SUMIFS(INDIRECT($AE$5),INDIRECT($AE9),C$2,INDIRECT($AF9),C$3)</f>
        <v>0</v>
      </c>
      <c r="D32" s="217">
        <f t="shared" ca="1" si="15"/>
        <v>0</v>
      </c>
      <c r="E32" s="217">
        <f t="shared" ca="1" si="15"/>
        <v>0</v>
      </c>
      <c r="F32" s="217">
        <f t="shared" ca="1" si="15"/>
        <v>0</v>
      </c>
      <c r="G32" s="217">
        <f t="shared" ca="1" si="15"/>
        <v>0</v>
      </c>
      <c r="H32" s="217">
        <f t="shared" ca="1" si="15"/>
        <v>0</v>
      </c>
      <c r="I32" s="217">
        <f t="shared" ca="1" si="15"/>
        <v>0</v>
      </c>
      <c r="J32" s="217">
        <f t="shared" ca="1" si="15"/>
        <v>0</v>
      </c>
      <c r="K32" s="217">
        <f t="shared" ca="1" si="15"/>
        <v>0</v>
      </c>
      <c r="L32" s="217">
        <f t="shared" ca="1" si="15"/>
        <v>0</v>
      </c>
      <c r="M32" s="217">
        <f t="shared" ca="1" si="15"/>
        <v>0</v>
      </c>
      <c r="N32" s="217">
        <f t="shared" ca="1" si="15"/>
        <v>0</v>
      </c>
      <c r="O32" s="217">
        <f t="shared" ca="1" si="15"/>
        <v>0</v>
      </c>
      <c r="P32" s="217">
        <f t="shared" ca="1" si="15"/>
        <v>0</v>
      </c>
      <c r="Q32" s="217">
        <f t="shared" ca="1" si="15"/>
        <v>0</v>
      </c>
      <c r="R32" s="217">
        <f t="shared" ca="1" si="15"/>
        <v>0</v>
      </c>
      <c r="S32" s="217">
        <f t="shared" ca="1" si="15"/>
        <v>0</v>
      </c>
      <c r="T32" s="217">
        <f t="shared" ca="1" si="15"/>
        <v>0</v>
      </c>
      <c r="U32" s="217">
        <f t="shared" ca="1" si="15"/>
        <v>0</v>
      </c>
      <c r="V32" s="217">
        <f t="shared" ca="1" si="15"/>
        <v>45</v>
      </c>
      <c r="W32" s="217">
        <f t="shared" ca="1" si="15"/>
        <v>45</v>
      </c>
      <c r="X32" s="217">
        <f t="shared" ca="1" si="15"/>
        <v>45</v>
      </c>
      <c r="Y32" s="217">
        <f t="shared" ca="1" si="15"/>
        <v>45</v>
      </c>
      <c r="Z32" s="217">
        <f t="shared" ca="1" si="15"/>
        <v>45</v>
      </c>
      <c r="AA32" s="217">
        <f t="shared" ca="1" si="15"/>
        <v>45</v>
      </c>
    </row>
    <row r="33" spans="2:27" s="166" customFormat="1" x14ac:dyDescent="0.25">
      <c r="B33" s="214" t="str">
        <f>CONCATENATE("Total ",B28)</f>
        <v>Total Perfil 1 Invierno</v>
      </c>
      <c r="C33" s="218">
        <f t="shared" ref="C33:AA33" ca="1" si="16">SUM(C30:C32)</f>
        <v>350.5</v>
      </c>
      <c r="D33" s="218">
        <f t="shared" ca="1" si="16"/>
        <v>350.5</v>
      </c>
      <c r="E33" s="218">
        <f t="shared" ca="1" si="16"/>
        <v>350.5</v>
      </c>
      <c r="F33" s="218">
        <f t="shared" ca="1" si="16"/>
        <v>350.5</v>
      </c>
      <c r="G33" s="218">
        <f t="shared" ca="1" si="16"/>
        <v>350.5</v>
      </c>
      <c r="H33" s="218">
        <f t="shared" ca="1" si="16"/>
        <v>350.5</v>
      </c>
      <c r="I33" s="218">
        <f t="shared" ca="1" si="16"/>
        <v>350.5</v>
      </c>
      <c r="J33" s="218">
        <f t="shared" ca="1" si="16"/>
        <v>350.5</v>
      </c>
      <c r="K33" s="218">
        <f t="shared" ca="1" si="16"/>
        <v>350.5</v>
      </c>
      <c r="L33" s="218">
        <f t="shared" ca="1" si="16"/>
        <v>184.65</v>
      </c>
      <c r="M33" s="218">
        <f t="shared" ca="1" si="16"/>
        <v>200.65</v>
      </c>
      <c r="N33" s="218">
        <f t="shared" ca="1" si="16"/>
        <v>200.65</v>
      </c>
      <c r="O33" s="218">
        <f t="shared" ca="1" si="16"/>
        <v>200.65</v>
      </c>
      <c r="P33" s="218">
        <f t="shared" ca="1" si="16"/>
        <v>155.65</v>
      </c>
      <c r="Q33" s="218">
        <f t="shared" ca="1" si="16"/>
        <v>200.65</v>
      </c>
      <c r="R33" s="218">
        <f t="shared" ca="1" si="16"/>
        <v>200.65</v>
      </c>
      <c r="S33" s="218">
        <f t="shared" ca="1" si="16"/>
        <v>200.65</v>
      </c>
      <c r="T33" s="218">
        <f t="shared" ca="1" si="16"/>
        <v>450.65</v>
      </c>
      <c r="U33" s="218">
        <f t="shared" ca="1" si="16"/>
        <v>361.95</v>
      </c>
      <c r="V33" s="218">
        <f t="shared" ca="1" si="16"/>
        <v>406.95</v>
      </c>
      <c r="W33" s="218">
        <f t="shared" ca="1" si="16"/>
        <v>406.95</v>
      </c>
      <c r="X33" s="218">
        <f t="shared" ca="1" si="16"/>
        <v>406.95</v>
      </c>
      <c r="Y33" s="218">
        <f t="shared" ca="1" si="16"/>
        <v>406.95</v>
      </c>
      <c r="Z33" s="218">
        <f t="shared" ca="1" si="16"/>
        <v>406.95</v>
      </c>
      <c r="AA33" s="218">
        <f t="shared" ca="1" si="16"/>
        <v>406.95</v>
      </c>
    </row>
    <row r="34" spans="2:27" s="166" customFormat="1" x14ac:dyDescent="0.25">
      <c r="C34" s="121"/>
      <c r="D34" s="121"/>
      <c r="E34" s="121"/>
      <c r="F34" s="121"/>
      <c r="G34" s="121"/>
      <c r="H34" s="121"/>
      <c r="I34" s="121"/>
      <c r="J34" s="121"/>
      <c r="K34" s="121"/>
      <c r="L34" s="121"/>
      <c r="M34" s="121"/>
      <c r="N34" s="121"/>
      <c r="O34" s="121"/>
      <c r="P34" s="121"/>
      <c r="Q34" s="121"/>
      <c r="R34" s="121"/>
      <c r="S34" s="121"/>
      <c r="T34" s="121"/>
      <c r="U34" s="121"/>
      <c r="V34" s="121"/>
      <c r="W34" s="121"/>
      <c r="X34" s="121"/>
      <c r="Y34" s="121"/>
      <c r="Z34" s="121"/>
      <c r="AA34" s="121"/>
    </row>
    <row r="35" spans="2:27" s="166" customFormat="1" x14ac:dyDescent="0.25">
      <c r="B35" s="122" t="s">
        <v>309</v>
      </c>
      <c r="C35" s="121"/>
      <c r="D35" s="121"/>
      <c r="E35" s="121"/>
      <c r="F35" s="121"/>
      <c r="G35" s="121"/>
      <c r="H35" s="121"/>
      <c r="I35" s="121"/>
      <c r="J35" s="121"/>
      <c r="K35" s="121"/>
      <c r="L35" s="121"/>
      <c r="M35" s="121"/>
      <c r="N35" s="121"/>
      <c r="O35" s="121"/>
      <c r="P35" s="121"/>
      <c r="Q35" s="121"/>
      <c r="R35" s="121"/>
      <c r="S35" s="121"/>
      <c r="T35" s="121"/>
      <c r="U35" s="121"/>
      <c r="V35" s="121"/>
      <c r="W35" s="121"/>
      <c r="X35" s="121"/>
      <c r="Y35" s="121"/>
      <c r="Z35" s="121"/>
      <c r="AA35" s="121"/>
    </row>
    <row r="36" spans="2:27" s="166" customFormat="1" x14ac:dyDescent="0.25">
      <c r="B36" s="214" t="s">
        <v>191</v>
      </c>
      <c r="C36" s="216">
        <v>0</v>
      </c>
      <c r="D36" s="216">
        <v>1</v>
      </c>
      <c r="E36" s="216">
        <v>2</v>
      </c>
      <c r="F36" s="216">
        <v>3</v>
      </c>
      <c r="G36" s="216">
        <v>4</v>
      </c>
      <c r="H36" s="216">
        <v>5</v>
      </c>
      <c r="I36" s="216">
        <v>6</v>
      </c>
      <c r="J36" s="216">
        <v>7</v>
      </c>
      <c r="K36" s="216">
        <v>8</v>
      </c>
      <c r="L36" s="216">
        <v>9</v>
      </c>
      <c r="M36" s="216">
        <v>10</v>
      </c>
      <c r="N36" s="216">
        <v>11</v>
      </c>
      <c r="O36" s="216">
        <v>12</v>
      </c>
      <c r="P36" s="216">
        <v>13</v>
      </c>
      <c r="Q36" s="216">
        <v>14</v>
      </c>
      <c r="R36" s="216">
        <v>15</v>
      </c>
      <c r="S36" s="216">
        <v>16</v>
      </c>
      <c r="T36" s="216">
        <v>17</v>
      </c>
      <c r="U36" s="216">
        <v>18</v>
      </c>
      <c r="V36" s="216">
        <v>19</v>
      </c>
      <c r="W36" s="216">
        <v>20</v>
      </c>
      <c r="X36" s="216">
        <v>21</v>
      </c>
      <c r="Y36" s="216">
        <v>22</v>
      </c>
      <c r="Z36" s="216">
        <v>23</v>
      </c>
      <c r="AA36" s="216">
        <v>24</v>
      </c>
    </row>
    <row r="37" spans="2:27" s="166" customFormat="1" x14ac:dyDescent="0.25">
      <c r="B37" s="215" t="s">
        <v>224</v>
      </c>
      <c r="C37" s="217">
        <f t="shared" ref="C37:AA37" ca="1" si="17">SUMIFS(INDIRECT($AE$6),INDIRECT($AE7),C$2,INDIRECT($AF7),C$3)</f>
        <v>300.5</v>
      </c>
      <c r="D37" s="217">
        <f t="shared" ca="1" si="17"/>
        <v>300.5</v>
      </c>
      <c r="E37" s="217">
        <f t="shared" ca="1" si="17"/>
        <v>300.5</v>
      </c>
      <c r="F37" s="217">
        <f t="shared" ca="1" si="17"/>
        <v>300.5</v>
      </c>
      <c r="G37" s="217">
        <f t="shared" ca="1" si="17"/>
        <v>300.5</v>
      </c>
      <c r="H37" s="217">
        <f t="shared" ca="1" si="17"/>
        <v>300.5</v>
      </c>
      <c r="I37" s="217">
        <f t="shared" ca="1" si="17"/>
        <v>300.5</v>
      </c>
      <c r="J37" s="217">
        <f t="shared" ca="1" si="17"/>
        <v>300.5</v>
      </c>
      <c r="K37" s="217">
        <f t="shared" ca="1" si="17"/>
        <v>300.5</v>
      </c>
      <c r="L37" s="217">
        <f t="shared" ca="1" si="17"/>
        <v>188.005</v>
      </c>
      <c r="M37" s="217">
        <f t="shared" ca="1" si="17"/>
        <v>196.005</v>
      </c>
      <c r="N37" s="217">
        <f t="shared" ca="1" si="17"/>
        <v>246.005</v>
      </c>
      <c r="O37" s="217">
        <f t="shared" ca="1" si="17"/>
        <v>246.005</v>
      </c>
      <c r="P37" s="217">
        <f t="shared" ca="1" si="17"/>
        <v>201.005</v>
      </c>
      <c r="Q37" s="217">
        <f t="shared" ca="1" si="17"/>
        <v>201.005</v>
      </c>
      <c r="R37" s="217">
        <f t="shared" ca="1" si="17"/>
        <v>201.005</v>
      </c>
      <c r="S37" s="217">
        <f t="shared" ca="1" si="17"/>
        <v>151.005</v>
      </c>
      <c r="T37" s="217">
        <f t="shared" ca="1" si="17"/>
        <v>151.005</v>
      </c>
      <c r="U37" s="217">
        <f t="shared" ca="1" si="17"/>
        <v>110.80500000000001</v>
      </c>
      <c r="V37" s="217">
        <f t="shared" ca="1" si="17"/>
        <v>110.80500000000001</v>
      </c>
      <c r="W37" s="217">
        <f t="shared" ca="1" si="17"/>
        <v>110.80500000000001</v>
      </c>
      <c r="X37" s="217">
        <f t="shared" ca="1" si="17"/>
        <v>110.80500000000001</v>
      </c>
      <c r="Y37" s="217">
        <f t="shared" ca="1" si="17"/>
        <v>110.80500000000001</v>
      </c>
      <c r="Z37" s="217">
        <f t="shared" ca="1" si="17"/>
        <v>110.80500000000001</v>
      </c>
      <c r="AA37" s="217">
        <f t="shared" ca="1" si="17"/>
        <v>110.80500000000001</v>
      </c>
    </row>
    <row r="38" spans="2:27" s="166" customFormat="1" x14ac:dyDescent="0.25">
      <c r="B38" s="215" t="s">
        <v>225</v>
      </c>
      <c r="C38" s="217">
        <f t="shared" ref="C38:AA38" ca="1" si="18">SUMIFS(INDIRECT($AE$6),INDIRECT($AE8),C$2,INDIRECT($AF8),C$3)</f>
        <v>0</v>
      </c>
      <c r="D38" s="217">
        <f t="shared" ca="1" si="18"/>
        <v>0</v>
      </c>
      <c r="E38" s="217">
        <f t="shared" ca="1" si="18"/>
        <v>0</v>
      </c>
      <c r="F38" s="217">
        <f t="shared" ca="1" si="18"/>
        <v>0</v>
      </c>
      <c r="G38" s="217">
        <f t="shared" ca="1" si="18"/>
        <v>0</v>
      </c>
      <c r="H38" s="217">
        <f t="shared" ca="1" si="18"/>
        <v>0</v>
      </c>
      <c r="I38" s="217">
        <f t="shared" ca="1" si="18"/>
        <v>0</v>
      </c>
      <c r="J38" s="217">
        <f t="shared" ca="1" si="18"/>
        <v>0</v>
      </c>
      <c r="K38" s="217">
        <f t="shared" ca="1" si="18"/>
        <v>0</v>
      </c>
      <c r="L38" s="217">
        <f t="shared" ca="1" si="18"/>
        <v>0</v>
      </c>
      <c r="M38" s="217">
        <f t="shared" ca="1" si="18"/>
        <v>0</v>
      </c>
      <c r="N38" s="217">
        <f t="shared" ca="1" si="18"/>
        <v>0</v>
      </c>
      <c r="O38" s="217">
        <f t="shared" ca="1" si="18"/>
        <v>0</v>
      </c>
      <c r="P38" s="217">
        <f t="shared" ca="1" si="18"/>
        <v>0</v>
      </c>
      <c r="Q38" s="217">
        <f t="shared" ca="1" si="18"/>
        <v>45</v>
      </c>
      <c r="R38" s="217">
        <f t="shared" ca="1" si="18"/>
        <v>45</v>
      </c>
      <c r="S38" s="217">
        <f t="shared" ca="1" si="18"/>
        <v>45</v>
      </c>
      <c r="T38" s="217">
        <f t="shared" ca="1" si="18"/>
        <v>245</v>
      </c>
      <c r="U38" s="217">
        <f t="shared" ca="1" si="18"/>
        <v>200</v>
      </c>
      <c r="V38" s="217">
        <f t="shared" ca="1" si="18"/>
        <v>200</v>
      </c>
      <c r="W38" s="217">
        <f t="shared" ca="1" si="18"/>
        <v>200</v>
      </c>
      <c r="X38" s="217">
        <f t="shared" ca="1" si="18"/>
        <v>200</v>
      </c>
      <c r="Y38" s="217">
        <f t="shared" ca="1" si="18"/>
        <v>200</v>
      </c>
      <c r="Z38" s="217">
        <f t="shared" ca="1" si="18"/>
        <v>200</v>
      </c>
      <c r="AA38" s="217">
        <f t="shared" ca="1" si="18"/>
        <v>200</v>
      </c>
    </row>
    <row r="39" spans="2:27" s="166" customFormat="1" x14ac:dyDescent="0.25">
      <c r="B39" s="215" t="s">
        <v>226</v>
      </c>
      <c r="C39" s="217">
        <f t="shared" ref="C39:AA39" ca="1" si="19">SUMIFS(INDIRECT($AE$6),INDIRECT($AE9),C$2,INDIRECT($AF9),C$3)</f>
        <v>0</v>
      </c>
      <c r="D39" s="217">
        <f t="shared" ca="1" si="19"/>
        <v>0</v>
      </c>
      <c r="E39" s="217">
        <f t="shared" ca="1" si="19"/>
        <v>0</v>
      </c>
      <c r="F39" s="217">
        <f t="shared" ca="1" si="19"/>
        <v>0</v>
      </c>
      <c r="G39" s="217">
        <f t="shared" ca="1" si="19"/>
        <v>0</v>
      </c>
      <c r="H39" s="217">
        <f t="shared" ca="1" si="19"/>
        <v>0</v>
      </c>
      <c r="I39" s="217">
        <f t="shared" ca="1" si="19"/>
        <v>0</v>
      </c>
      <c r="J39" s="217">
        <f t="shared" ca="1" si="19"/>
        <v>0</v>
      </c>
      <c r="K39" s="217">
        <f t="shared" ca="1" si="19"/>
        <v>0</v>
      </c>
      <c r="L39" s="217">
        <f t="shared" ca="1" si="19"/>
        <v>0</v>
      </c>
      <c r="M39" s="217">
        <f t="shared" ca="1" si="19"/>
        <v>0</v>
      </c>
      <c r="N39" s="217">
        <f t="shared" ca="1" si="19"/>
        <v>0</v>
      </c>
      <c r="O39" s="217">
        <f t="shared" ca="1" si="19"/>
        <v>0</v>
      </c>
      <c r="P39" s="217">
        <f t="shared" ca="1" si="19"/>
        <v>0</v>
      </c>
      <c r="Q39" s="217">
        <f t="shared" ca="1" si="19"/>
        <v>0</v>
      </c>
      <c r="R39" s="217">
        <f t="shared" ca="1" si="19"/>
        <v>0</v>
      </c>
      <c r="S39" s="217">
        <f t="shared" ca="1" si="19"/>
        <v>0</v>
      </c>
      <c r="T39" s="217">
        <f t="shared" ca="1" si="19"/>
        <v>0</v>
      </c>
      <c r="U39" s="217">
        <f t="shared" ca="1" si="19"/>
        <v>0</v>
      </c>
      <c r="V39" s="217">
        <f t="shared" ca="1" si="19"/>
        <v>45</v>
      </c>
      <c r="W39" s="217">
        <f t="shared" ca="1" si="19"/>
        <v>45</v>
      </c>
      <c r="X39" s="217">
        <f t="shared" ca="1" si="19"/>
        <v>45</v>
      </c>
      <c r="Y39" s="217">
        <f t="shared" ca="1" si="19"/>
        <v>45</v>
      </c>
      <c r="Z39" s="217">
        <f t="shared" ca="1" si="19"/>
        <v>45</v>
      </c>
      <c r="AA39" s="217">
        <f t="shared" ca="1" si="19"/>
        <v>45</v>
      </c>
    </row>
    <row r="40" spans="2:27" s="166" customFormat="1" x14ac:dyDescent="0.25">
      <c r="B40" s="214" t="str">
        <f>CONCATENATE("Total ",B35)</f>
        <v>Total Perfil 1 Primavera</v>
      </c>
      <c r="C40" s="218">
        <f t="shared" ref="C40:AA40" ca="1" si="20">SUM(C37:C39)</f>
        <v>300.5</v>
      </c>
      <c r="D40" s="218">
        <f t="shared" ca="1" si="20"/>
        <v>300.5</v>
      </c>
      <c r="E40" s="218">
        <f t="shared" ca="1" si="20"/>
        <v>300.5</v>
      </c>
      <c r="F40" s="218">
        <f t="shared" ca="1" si="20"/>
        <v>300.5</v>
      </c>
      <c r="G40" s="218">
        <f t="shared" ca="1" si="20"/>
        <v>300.5</v>
      </c>
      <c r="H40" s="218">
        <f t="shared" ca="1" si="20"/>
        <v>300.5</v>
      </c>
      <c r="I40" s="218">
        <f t="shared" ca="1" si="20"/>
        <v>300.5</v>
      </c>
      <c r="J40" s="218">
        <f t="shared" ca="1" si="20"/>
        <v>300.5</v>
      </c>
      <c r="K40" s="218">
        <f t="shared" ca="1" si="20"/>
        <v>300.5</v>
      </c>
      <c r="L40" s="218">
        <f t="shared" ca="1" si="20"/>
        <v>188.005</v>
      </c>
      <c r="M40" s="218">
        <f t="shared" ca="1" si="20"/>
        <v>196.005</v>
      </c>
      <c r="N40" s="218">
        <f t="shared" ca="1" si="20"/>
        <v>246.005</v>
      </c>
      <c r="O40" s="218">
        <f t="shared" ca="1" si="20"/>
        <v>246.005</v>
      </c>
      <c r="P40" s="218">
        <f t="shared" ca="1" si="20"/>
        <v>201.005</v>
      </c>
      <c r="Q40" s="218">
        <f t="shared" ca="1" si="20"/>
        <v>246.005</v>
      </c>
      <c r="R40" s="218">
        <f t="shared" ca="1" si="20"/>
        <v>246.005</v>
      </c>
      <c r="S40" s="218">
        <f t="shared" ca="1" si="20"/>
        <v>196.005</v>
      </c>
      <c r="T40" s="218">
        <f t="shared" ca="1" si="20"/>
        <v>396.005</v>
      </c>
      <c r="U40" s="218">
        <f t="shared" ca="1" si="20"/>
        <v>310.80500000000001</v>
      </c>
      <c r="V40" s="218">
        <f t="shared" ca="1" si="20"/>
        <v>355.80500000000001</v>
      </c>
      <c r="W40" s="218">
        <f t="shared" ca="1" si="20"/>
        <v>355.80500000000001</v>
      </c>
      <c r="X40" s="218">
        <f t="shared" ca="1" si="20"/>
        <v>355.80500000000001</v>
      </c>
      <c r="Y40" s="218">
        <f t="shared" ca="1" si="20"/>
        <v>355.80500000000001</v>
      </c>
      <c r="Z40" s="218">
        <f t="shared" ca="1" si="20"/>
        <v>355.80500000000001</v>
      </c>
      <c r="AA40" s="218">
        <f t="shared" ca="1" si="20"/>
        <v>355.80500000000001</v>
      </c>
    </row>
    <row r="41" spans="2:27" s="166" customFormat="1" x14ac:dyDescent="0.25">
      <c r="C41" s="121"/>
      <c r="D41" s="121"/>
      <c r="E41" s="121"/>
      <c r="F41" s="121"/>
      <c r="G41" s="121"/>
      <c r="H41" s="121"/>
      <c r="I41" s="121"/>
      <c r="J41" s="121"/>
      <c r="K41" s="121"/>
      <c r="L41" s="121"/>
      <c r="M41" s="121"/>
      <c r="N41" s="121"/>
      <c r="O41" s="121"/>
      <c r="P41" s="121"/>
      <c r="Q41" s="121"/>
      <c r="R41" s="121"/>
      <c r="S41" s="121"/>
      <c r="T41" s="121"/>
      <c r="U41" s="121"/>
      <c r="V41" s="121"/>
      <c r="W41" s="121"/>
      <c r="X41" s="121"/>
      <c r="Y41" s="121"/>
      <c r="Z41" s="121"/>
      <c r="AA41" s="121"/>
    </row>
    <row r="42" spans="2:27" s="166" customFormat="1" x14ac:dyDescent="0.25">
      <c r="B42" s="122" t="s">
        <v>306</v>
      </c>
      <c r="C42" s="121"/>
      <c r="D42" s="121"/>
      <c r="E42" s="121"/>
      <c r="F42" s="121"/>
      <c r="G42" s="121"/>
      <c r="H42" s="121"/>
      <c r="I42" s="121"/>
      <c r="J42" s="121"/>
      <c r="K42" s="121"/>
      <c r="L42" s="121"/>
      <c r="M42" s="121"/>
      <c r="N42" s="121"/>
      <c r="O42" s="121"/>
      <c r="P42" s="121"/>
      <c r="Q42" s="121"/>
      <c r="R42" s="121"/>
      <c r="S42" s="121"/>
      <c r="T42" s="121"/>
      <c r="U42" s="121"/>
      <c r="V42" s="121"/>
      <c r="W42" s="121"/>
      <c r="X42" s="121"/>
      <c r="Y42" s="121"/>
      <c r="Z42" s="121"/>
      <c r="AA42" s="121"/>
    </row>
    <row r="43" spans="2:27" s="166" customFormat="1" x14ac:dyDescent="0.25">
      <c r="B43" s="214" t="s">
        <v>191</v>
      </c>
      <c r="C43" s="216">
        <v>0</v>
      </c>
      <c r="D43" s="216">
        <v>1</v>
      </c>
      <c r="E43" s="216">
        <v>2</v>
      </c>
      <c r="F43" s="216">
        <v>3</v>
      </c>
      <c r="G43" s="216">
        <v>4</v>
      </c>
      <c r="H43" s="216">
        <v>5</v>
      </c>
      <c r="I43" s="216">
        <v>6</v>
      </c>
      <c r="J43" s="216">
        <v>7</v>
      </c>
      <c r="K43" s="216">
        <v>8</v>
      </c>
      <c r="L43" s="216">
        <v>9</v>
      </c>
      <c r="M43" s="216">
        <v>10</v>
      </c>
      <c r="N43" s="216">
        <v>11</v>
      </c>
      <c r="O43" s="216">
        <v>12</v>
      </c>
      <c r="P43" s="216">
        <v>13</v>
      </c>
      <c r="Q43" s="216">
        <v>14</v>
      </c>
      <c r="R43" s="216">
        <v>15</v>
      </c>
      <c r="S43" s="216">
        <v>16</v>
      </c>
      <c r="T43" s="216">
        <v>17</v>
      </c>
      <c r="U43" s="216">
        <v>18</v>
      </c>
      <c r="V43" s="216">
        <v>19</v>
      </c>
      <c r="W43" s="216">
        <v>20</v>
      </c>
      <c r="X43" s="216">
        <v>21</v>
      </c>
      <c r="Y43" s="216">
        <v>22</v>
      </c>
      <c r="Z43" s="216">
        <v>23</v>
      </c>
      <c r="AA43" s="216">
        <v>24</v>
      </c>
    </row>
    <row r="44" spans="2:27" s="166" customFormat="1" x14ac:dyDescent="0.25">
      <c r="B44" s="215" t="s">
        <v>224</v>
      </c>
      <c r="C44" s="217">
        <f t="shared" ref="C44:AA44" ca="1" si="21">SUMIFS(INDIRECT($AE$3),INDIRECT($AE10),C$2,INDIRECT($AF10),C$3)</f>
        <v>250.5</v>
      </c>
      <c r="D44" s="217">
        <f t="shared" ca="1" si="21"/>
        <v>250.5</v>
      </c>
      <c r="E44" s="217">
        <f t="shared" ca="1" si="21"/>
        <v>250.5</v>
      </c>
      <c r="F44" s="217">
        <f t="shared" ca="1" si="21"/>
        <v>250.5</v>
      </c>
      <c r="G44" s="217">
        <f t="shared" ca="1" si="21"/>
        <v>250.5</v>
      </c>
      <c r="H44" s="217">
        <f t="shared" ca="1" si="21"/>
        <v>250.5</v>
      </c>
      <c r="I44" s="217">
        <f t="shared" ca="1" si="21"/>
        <v>250.5</v>
      </c>
      <c r="J44" s="217">
        <f t="shared" ca="1" si="21"/>
        <v>250.5</v>
      </c>
      <c r="K44" s="217">
        <f t="shared" ca="1" si="21"/>
        <v>250.5</v>
      </c>
      <c r="L44" s="217">
        <f t="shared" ca="1" si="21"/>
        <v>196.36</v>
      </c>
      <c r="M44" s="217">
        <f t="shared" ca="1" si="21"/>
        <v>146.36000000000001</v>
      </c>
      <c r="N44" s="217">
        <f t="shared" ca="1" si="21"/>
        <v>396.36</v>
      </c>
      <c r="O44" s="217">
        <f t="shared" ca="1" si="21"/>
        <v>396.36</v>
      </c>
      <c r="P44" s="217">
        <f t="shared" ca="1" si="21"/>
        <v>396.36</v>
      </c>
      <c r="Q44" s="217">
        <f t="shared" ca="1" si="21"/>
        <v>350.5</v>
      </c>
      <c r="R44" s="217">
        <f t="shared" ca="1" si="21"/>
        <v>350.5</v>
      </c>
      <c r="S44" s="217">
        <f t="shared" ca="1" si="21"/>
        <v>100.5</v>
      </c>
      <c r="T44" s="217">
        <f t="shared" ca="1" si="21"/>
        <v>100.5</v>
      </c>
      <c r="U44" s="217">
        <f t="shared" ca="1" si="21"/>
        <v>100.5</v>
      </c>
      <c r="V44" s="217">
        <f t="shared" ca="1" si="21"/>
        <v>100.5</v>
      </c>
      <c r="W44" s="217">
        <f t="shared" ca="1" si="21"/>
        <v>100.5</v>
      </c>
      <c r="X44" s="217">
        <f t="shared" ca="1" si="21"/>
        <v>100.5</v>
      </c>
      <c r="Y44" s="217">
        <f t="shared" ca="1" si="21"/>
        <v>100.5</v>
      </c>
      <c r="Z44" s="217">
        <f t="shared" ca="1" si="21"/>
        <v>100.5</v>
      </c>
      <c r="AA44" s="217">
        <f t="shared" ca="1" si="21"/>
        <v>100.5</v>
      </c>
    </row>
    <row r="45" spans="2:27" s="166" customFormat="1" x14ac:dyDescent="0.25">
      <c r="B45" s="215" t="s">
        <v>225</v>
      </c>
      <c r="C45" s="217">
        <f t="shared" ref="C45:AA45" ca="1" si="22">SUMIFS(INDIRECT($AE$3),INDIRECT($AE11),C$2,INDIRECT($AF11),C$3)</f>
        <v>0</v>
      </c>
      <c r="D45" s="217">
        <f t="shared" ca="1" si="22"/>
        <v>0</v>
      </c>
      <c r="E45" s="217">
        <f t="shared" ca="1" si="22"/>
        <v>0</v>
      </c>
      <c r="F45" s="217">
        <f t="shared" ca="1" si="22"/>
        <v>0</v>
      </c>
      <c r="G45" s="217">
        <f t="shared" ca="1" si="22"/>
        <v>0</v>
      </c>
      <c r="H45" s="217">
        <f t="shared" ca="1" si="22"/>
        <v>0</v>
      </c>
      <c r="I45" s="217">
        <f t="shared" ca="1" si="22"/>
        <v>0</v>
      </c>
      <c r="J45" s="217">
        <f t="shared" ca="1" si="22"/>
        <v>0</v>
      </c>
      <c r="K45" s="217">
        <f t="shared" ca="1" si="22"/>
        <v>0</v>
      </c>
      <c r="L45" s="217">
        <f t="shared" ca="1" si="22"/>
        <v>0</v>
      </c>
      <c r="M45" s="217">
        <f t="shared" ca="1" si="22"/>
        <v>0</v>
      </c>
      <c r="N45" s="217">
        <f t="shared" ca="1" si="22"/>
        <v>0</v>
      </c>
      <c r="O45" s="217">
        <f t="shared" ca="1" si="22"/>
        <v>50</v>
      </c>
      <c r="P45" s="217">
        <f t="shared" ca="1" si="22"/>
        <v>50</v>
      </c>
      <c r="Q45" s="217">
        <f t="shared" ca="1" si="22"/>
        <v>0</v>
      </c>
      <c r="R45" s="217">
        <f t="shared" ca="1" si="22"/>
        <v>0</v>
      </c>
      <c r="S45" s="217">
        <f t="shared" ca="1" si="22"/>
        <v>0</v>
      </c>
      <c r="T45" s="217">
        <f t="shared" ca="1" si="22"/>
        <v>150</v>
      </c>
      <c r="U45" s="217">
        <f t="shared" ca="1" si="22"/>
        <v>150</v>
      </c>
      <c r="V45" s="217">
        <f t="shared" ca="1" si="22"/>
        <v>150</v>
      </c>
      <c r="W45" s="217">
        <f t="shared" ca="1" si="22"/>
        <v>150</v>
      </c>
      <c r="X45" s="217">
        <f t="shared" ca="1" si="22"/>
        <v>150</v>
      </c>
      <c r="Y45" s="217">
        <f t="shared" ca="1" si="22"/>
        <v>150</v>
      </c>
      <c r="Z45" s="217">
        <f t="shared" ca="1" si="22"/>
        <v>150</v>
      </c>
      <c r="AA45" s="217">
        <f t="shared" ca="1" si="22"/>
        <v>150</v>
      </c>
    </row>
    <row r="46" spans="2:27" s="166" customFormat="1" x14ac:dyDescent="0.25">
      <c r="B46" s="215" t="s">
        <v>226</v>
      </c>
      <c r="C46" s="217">
        <f t="shared" ref="C46:AA46" ca="1" si="23">SUMIFS(INDIRECT($AE$3),INDIRECT($AE12),C$2,INDIRECT($AF12),C$3)</f>
        <v>0</v>
      </c>
      <c r="D46" s="217">
        <f t="shared" ca="1" si="23"/>
        <v>0</v>
      </c>
      <c r="E46" s="217">
        <f t="shared" ca="1" si="23"/>
        <v>0</v>
      </c>
      <c r="F46" s="217">
        <f t="shared" ca="1" si="23"/>
        <v>0</v>
      </c>
      <c r="G46" s="217">
        <f t="shared" ca="1" si="23"/>
        <v>0</v>
      </c>
      <c r="H46" s="217">
        <f t="shared" ca="1" si="23"/>
        <v>0</v>
      </c>
      <c r="I46" s="217">
        <f t="shared" ca="1" si="23"/>
        <v>0</v>
      </c>
      <c r="J46" s="217">
        <f t="shared" ca="1" si="23"/>
        <v>0</v>
      </c>
      <c r="K46" s="217">
        <f t="shared" ca="1" si="23"/>
        <v>0</v>
      </c>
      <c r="L46" s="217">
        <f t="shared" ca="1" si="23"/>
        <v>0</v>
      </c>
      <c r="M46" s="217">
        <f t="shared" ca="1" si="23"/>
        <v>0</v>
      </c>
      <c r="N46" s="217">
        <f t="shared" ca="1" si="23"/>
        <v>0</v>
      </c>
      <c r="O46" s="217">
        <f t="shared" ca="1" si="23"/>
        <v>0</v>
      </c>
      <c r="P46" s="217">
        <f t="shared" ca="1" si="23"/>
        <v>0</v>
      </c>
      <c r="Q46" s="217">
        <f t="shared" ca="1" si="23"/>
        <v>0</v>
      </c>
      <c r="R46" s="217">
        <f t="shared" ca="1" si="23"/>
        <v>0</v>
      </c>
      <c r="S46" s="217">
        <f t="shared" ca="1" si="23"/>
        <v>0</v>
      </c>
      <c r="T46" s="217">
        <f t="shared" ca="1" si="23"/>
        <v>0</v>
      </c>
      <c r="U46" s="217">
        <f t="shared" ca="1" si="23"/>
        <v>0</v>
      </c>
      <c r="V46" s="217">
        <f t="shared" ca="1" si="23"/>
        <v>0</v>
      </c>
      <c r="W46" s="217">
        <f t="shared" ca="1" si="23"/>
        <v>0</v>
      </c>
      <c r="X46" s="217">
        <f t="shared" ca="1" si="23"/>
        <v>0</v>
      </c>
      <c r="Y46" s="217">
        <f t="shared" ca="1" si="23"/>
        <v>0</v>
      </c>
      <c r="Z46" s="217">
        <f t="shared" ca="1" si="23"/>
        <v>0</v>
      </c>
      <c r="AA46" s="217">
        <f t="shared" ca="1" si="23"/>
        <v>0</v>
      </c>
    </row>
    <row r="47" spans="2:27" s="166" customFormat="1" x14ac:dyDescent="0.25">
      <c r="B47" s="214" t="str">
        <f>CONCATENATE("Total ",B42)</f>
        <v>Total Perfil 2 Verano</v>
      </c>
      <c r="C47" s="218">
        <f t="shared" ref="C47:AA47" ca="1" si="24">SUM(C44:C46)</f>
        <v>250.5</v>
      </c>
      <c r="D47" s="218">
        <f t="shared" ca="1" si="24"/>
        <v>250.5</v>
      </c>
      <c r="E47" s="218">
        <f t="shared" ca="1" si="24"/>
        <v>250.5</v>
      </c>
      <c r="F47" s="218">
        <f t="shared" ca="1" si="24"/>
        <v>250.5</v>
      </c>
      <c r="G47" s="218">
        <f t="shared" ca="1" si="24"/>
        <v>250.5</v>
      </c>
      <c r="H47" s="218">
        <f t="shared" ca="1" si="24"/>
        <v>250.5</v>
      </c>
      <c r="I47" s="218">
        <f t="shared" ca="1" si="24"/>
        <v>250.5</v>
      </c>
      <c r="J47" s="218">
        <f t="shared" ca="1" si="24"/>
        <v>250.5</v>
      </c>
      <c r="K47" s="218">
        <f t="shared" ca="1" si="24"/>
        <v>250.5</v>
      </c>
      <c r="L47" s="218">
        <f t="shared" ca="1" si="24"/>
        <v>196.36</v>
      </c>
      <c r="M47" s="218">
        <f t="shared" ca="1" si="24"/>
        <v>146.36000000000001</v>
      </c>
      <c r="N47" s="218">
        <f t="shared" ca="1" si="24"/>
        <v>396.36</v>
      </c>
      <c r="O47" s="218">
        <f t="shared" ca="1" si="24"/>
        <v>446.36</v>
      </c>
      <c r="P47" s="218">
        <f t="shared" ca="1" si="24"/>
        <v>446.36</v>
      </c>
      <c r="Q47" s="218">
        <f t="shared" ca="1" si="24"/>
        <v>350.5</v>
      </c>
      <c r="R47" s="218">
        <f t="shared" ca="1" si="24"/>
        <v>350.5</v>
      </c>
      <c r="S47" s="218">
        <f t="shared" ca="1" si="24"/>
        <v>100.5</v>
      </c>
      <c r="T47" s="218">
        <f t="shared" ca="1" si="24"/>
        <v>250.5</v>
      </c>
      <c r="U47" s="218">
        <f t="shared" ca="1" si="24"/>
        <v>250.5</v>
      </c>
      <c r="V47" s="218">
        <f t="shared" ca="1" si="24"/>
        <v>250.5</v>
      </c>
      <c r="W47" s="218">
        <f t="shared" ca="1" si="24"/>
        <v>250.5</v>
      </c>
      <c r="X47" s="218">
        <f t="shared" ca="1" si="24"/>
        <v>250.5</v>
      </c>
      <c r="Y47" s="218">
        <f t="shared" ca="1" si="24"/>
        <v>250.5</v>
      </c>
      <c r="Z47" s="218">
        <f t="shared" ca="1" si="24"/>
        <v>250.5</v>
      </c>
      <c r="AA47" s="218">
        <f t="shared" ca="1" si="24"/>
        <v>250.5</v>
      </c>
    </row>
    <row r="48" spans="2:27" s="166" customFormat="1" x14ac:dyDescent="0.25">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row>
    <row r="49" spans="2:27" s="166" customFormat="1" x14ac:dyDescent="0.25">
      <c r="B49" s="122" t="s">
        <v>315</v>
      </c>
      <c r="C49" s="121"/>
      <c r="D49" s="121"/>
      <c r="E49" s="121"/>
      <c r="F49" s="121"/>
      <c r="G49" s="121"/>
      <c r="H49" s="121"/>
      <c r="I49" s="121"/>
      <c r="J49" s="121"/>
      <c r="K49" s="121"/>
      <c r="L49" s="121"/>
      <c r="M49" s="121"/>
      <c r="N49" s="121"/>
      <c r="O49" s="121"/>
      <c r="P49" s="121"/>
      <c r="Q49" s="121"/>
      <c r="R49" s="121"/>
      <c r="S49" s="121"/>
      <c r="T49" s="121"/>
      <c r="U49" s="121"/>
      <c r="V49" s="121"/>
      <c r="W49" s="121"/>
      <c r="X49" s="121"/>
      <c r="Y49" s="121"/>
      <c r="Z49" s="121"/>
      <c r="AA49" s="121"/>
    </row>
    <row r="50" spans="2:27" s="166" customFormat="1" x14ac:dyDescent="0.25">
      <c r="B50" s="214" t="s">
        <v>191</v>
      </c>
      <c r="C50" s="216">
        <v>0</v>
      </c>
      <c r="D50" s="216">
        <v>1</v>
      </c>
      <c r="E50" s="216">
        <v>2</v>
      </c>
      <c r="F50" s="216">
        <v>3</v>
      </c>
      <c r="G50" s="216">
        <v>4</v>
      </c>
      <c r="H50" s="216">
        <v>5</v>
      </c>
      <c r="I50" s="216">
        <v>6</v>
      </c>
      <c r="J50" s="216">
        <v>7</v>
      </c>
      <c r="K50" s="216">
        <v>8</v>
      </c>
      <c r="L50" s="216">
        <v>9</v>
      </c>
      <c r="M50" s="216">
        <v>10</v>
      </c>
      <c r="N50" s="216">
        <v>11</v>
      </c>
      <c r="O50" s="216">
        <v>12</v>
      </c>
      <c r="P50" s="216">
        <v>13</v>
      </c>
      <c r="Q50" s="216">
        <v>14</v>
      </c>
      <c r="R50" s="216">
        <v>15</v>
      </c>
      <c r="S50" s="216">
        <v>16</v>
      </c>
      <c r="T50" s="216">
        <v>17</v>
      </c>
      <c r="U50" s="216">
        <v>18</v>
      </c>
      <c r="V50" s="216">
        <v>19</v>
      </c>
      <c r="W50" s="216">
        <v>20</v>
      </c>
      <c r="X50" s="216">
        <v>21</v>
      </c>
      <c r="Y50" s="216">
        <v>22</v>
      </c>
      <c r="Z50" s="216">
        <v>23</v>
      </c>
      <c r="AA50" s="216">
        <v>24</v>
      </c>
    </row>
    <row r="51" spans="2:27" s="166" customFormat="1" x14ac:dyDescent="0.25">
      <c r="B51" s="215" t="s">
        <v>224</v>
      </c>
      <c r="C51" s="217">
        <f t="shared" ref="C51:AA51" ca="1" si="25">SUMIFS(INDIRECT($AE$4),INDIRECT($AE10),C$2,INDIRECT($AF10),C$3)</f>
        <v>300.5</v>
      </c>
      <c r="D51" s="217">
        <f t="shared" ca="1" si="25"/>
        <v>300.5</v>
      </c>
      <c r="E51" s="217">
        <f t="shared" ca="1" si="25"/>
        <v>300.5</v>
      </c>
      <c r="F51" s="217">
        <f t="shared" ca="1" si="25"/>
        <v>300.5</v>
      </c>
      <c r="G51" s="217">
        <f t="shared" ca="1" si="25"/>
        <v>300.5</v>
      </c>
      <c r="H51" s="217">
        <f t="shared" ca="1" si="25"/>
        <v>300.5</v>
      </c>
      <c r="I51" s="217">
        <f t="shared" ca="1" si="25"/>
        <v>300.5</v>
      </c>
      <c r="J51" s="217">
        <f t="shared" ca="1" si="25"/>
        <v>300.5</v>
      </c>
      <c r="K51" s="217">
        <f t="shared" ca="1" si="25"/>
        <v>300.5</v>
      </c>
      <c r="L51" s="217">
        <f t="shared" ca="1" si="25"/>
        <v>188.005</v>
      </c>
      <c r="M51" s="217">
        <f t="shared" ca="1" si="25"/>
        <v>143.005</v>
      </c>
      <c r="N51" s="217">
        <f t="shared" ca="1" si="25"/>
        <v>226.005</v>
      </c>
      <c r="O51" s="217">
        <f t="shared" ca="1" si="25"/>
        <v>226.005</v>
      </c>
      <c r="P51" s="217">
        <f t="shared" ca="1" si="25"/>
        <v>226.005</v>
      </c>
      <c r="Q51" s="217">
        <f t="shared" ca="1" si="25"/>
        <v>175.5</v>
      </c>
      <c r="R51" s="217">
        <f t="shared" ca="1" si="25"/>
        <v>175.5</v>
      </c>
      <c r="S51" s="217">
        <f t="shared" ca="1" si="25"/>
        <v>100.5</v>
      </c>
      <c r="T51" s="217">
        <f t="shared" ca="1" si="25"/>
        <v>100.5</v>
      </c>
      <c r="U51" s="217">
        <f t="shared" ca="1" si="25"/>
        <v>100.5</v>
      </c>
      <c r="V51" s="217">
        <f t="shared" ca="1" si="25"/>
        <v>100.5</v>
      </c>
      <c r="W51" s="217">
        <f t="shared" ca="1" si="25"/>
        <v>100.5</v>
      </c>
      <c r="X51" s="217">
        <f t="shared" ca="1" si="25"/>
        <v>100.5</v>
      </c>
      <c r="Y51" s="217">
        <f t="shared" ca="1" si="25"/>
        <v>100.5</v>
      </c>
      <c r="Z51" s="217">
        <f t="shared" ca="1" si="25"/>
        <v>100.5</v>
      </c>
      <c r="AA51" s="217">
        <f t="shared" ca="1" si="25"/>
        <v>100.5</v>
      </c>
    </row>
    <row r="52" spans="2:27" s="166" customFormat="1" x14ac:dyDescent="0.25">
      <c r="B52" s="215" t="s">
        <v>225</v>
      </c>
      <c r="C52" s="217">
        <f t="shared" ref="C52:AA52" ca="1" si="26">SUMIFS(INDIRECT($AE$4),INDIRECT($AE11),C$2,INDIRECT($AF11),C$3)</f>
        <v>0</v>
      </c>
      <c r="D52" s="217">
        <f t="shared" ca="1" si="26"/>
        <v>0</v>
      </c>
      <c r="E52" s="217">
        <f t="shared" ca="1" si="26"/>
        <v>0</v>
      </c>
      <c r="F52" s="217">
        <f t="shared" ca="1" si="26"/>
        <v>0</v>
      </c>
      <c r="G52" s="217">
        <f t="shared" ca="1" si="26"/>
        <v>0</v>
      </c>
      <c r="H52" s="217">
        <f t="shared" ca="1" si="26"/>
        <v>0</v>
      </c>
      <c r="I52" s="217">
        <f t="shared" ca="1" si="26"/>
        <v>0</v>
      </c>
      <c r="J52" s="217">
        <f t="shared" ca="1" si="26"/>
        <v>0</v>
      </c>
      <c r="K52" s="217">
        <f t="shared" ca="1" si="26"/>
        <v>0</v>
      </c>
      <c r="L52" s="217">
        <f t="shared" ca="1" si="26"/>
        <v>0</v>
      </c>
      <c r="M52" s="217">
        <f t="shared" ca="1" si="26"/>
        <v>0</v>
      </c>
      <c r="N52" s="217">
        <f t="shared" ca="1" si="26"/>
        <v>0</v>
      </c>
      <c r="O52" s="217">
        <f t="shared" ca="1" si="26"/>
        <v>45</v>
      </c>
      <c r="P52" s="217">
        <f t="shared" ca="1" si="26"/>
        <v>45</v>
      </c>
      <c r="Q52" s="217">
        <f t="shared" ca="1" si="26"/>
        <v>0</v>
      </c>
      <c r="R52" s="217">
        <f t="shared" ca="1" si="26"/>
        <v>0</v>
      </c>
      <c r="S52" s="217">
        <f t="shared" ca="1" si="26"/>
        <v>0</v>
      </c>
      <c r="T52" s="217">
        <f t="shared" ca="1" si="26"/>
        <v>200</v>
      </c>
      <c r="U52" s="217">
        <f t="shared" ca="1" si="26"/>
        <v>200</v>
      </c>
      <c r="V52" s="217">
        <f t="shared" ca="1" si="26"/>
        <v>200</v>
      </c>
      <c r="W52" s="217">
        <f t="shared" ca="1" si="26"/>
        <v>200</v>
      </c>
      <c r="X52" s="217">
        <f t="shared" ca="1" si="26"/>
        <v>200</v>
      </c>
      <c r="Y52" s="217">
        <f t="shared" ca="1" si="26"/>
        <v>200</v>
      </c>
      <c r="Z52" s="217">
        <f t="shared" ca="1" si="26"/>
        <v>200</v>
      </c>
      <c r="AA52" s="217">
        <f t="shared" ca="1" si="26"/>
        <v>200</v>
      </c>
    </row>
    <row r="53" spans="2:27" s="166" customFormat="1" x14ac:dyDescent="0.25">
      <c r="B53" s="215" t="s">
        <v>226</v>
      </c>
      <c r="C53" s="217">
        <f t="shared" ref="C53:AA53" ca="1" si="27">SUMIFS(INDIRECT($AE$4),INDIRECT($AE12),C$2,INDIRECT($AF12),C$3)</f>
        <v>0</v>
      </c>
      <c r="D53" s="217">
        <f t="shared" ca="1" si="27"/>
        <v>0</v>
      </c>
      <c r="E53" s="217">
        <f t="shared" ca="1" si="27"/>
        <v>0</v>
      </c>
      <c r="F53" s="217">
        <f t="shared" ca="1" si="27"/>
        <v>0</v>
      </c>
      <c r="G53" s="217">
        <f t="shared" ca="1" si="27"/>
        <v>0</v>
      </c>
      <c r="H53" s="217">
        <f t="shared" ca="1" si="27"/>
        <v>0</v>
      </c>
      <c r="I53" s="217">
        <f t="shared" ca="1" si="27"/>
        <v>0</v>
      </c>
      <c r="J53" s="217">
        <f t="shared" ca="1" si="27"/>
        <v>0</v>
      </c>
      <c r="K53" s="217">
        <f t="shared" ca="1" si="27"/>
        <v>0</v>
      </c>
      <c r="L53" s="217">
        <f t="shared" ca="1" si="27"/>
        <v>0</v>
      </c>
      <c r="M53" s="217">
        <f t="shared" ca="1" si="27"/>
        <v>0</v>
      </c>
      <c r="N53" s="217">
        <f t="shared" ca="1" si="27"/>
        <v>0</v>
      </c>
      <c r="O53" s="217">
        <f t="shared" ca="1" si="27"/>
        <v>0</v>
      </c>
      <c r="P53" s="217">
        <f t="shared" ca="1" si="27"/>
        <v>0</v>
      </c>
      <c r="Q53" s="217">
        <f t="shared" ca="1" si="27"/>
        <v>0</v>
      </c>
      <c r="R53" s="217">
        <f t="shared" ca="1" si="27"/>
        <v>0</v>
      </c>
      <c r="S53" s="217">
        <f t="shared" ca="1" si="27"/>
        <v>0</v>
      </c>
      <c r="T53" s="217">
        <f t="shared" ca="1" si="27"/>
        <v>0</v>
      </c>
      <c r="U53" s="217">
        <f t="shared" ca="1" si="27"/>
        <v>0</v>
      </c>
      <c r="V53" s="217">
        <f t="shared" ca="1" si="27"/>
        <v>0</v>
      </c>
      <c r="W53" s="217">
        <f t="shared" ca="1" si="27"/>
        <v>0</v>
      </c>
      <c r="X53" s="217">
        <f t="shared" ca="1" si="27"/>
        <v>0</v>
      </c>
      <c r="Y53" s="217">
        <f t="shared" ca="1" si="27"/>
        <v>0</v>
      </c>
      <c r="Z53" s="217">
        <f t="shared" ca="1" si="27"/>
        <v>0</v>
      </c>
      <c r="AA53" s="217">
        <f t="shared" ca="1" si="27"/>
        <v>0</v>
      </c>
    </row>
    <row r="54" spans="2:27" s="166" customFormat="1" x14ac:dyDescent="0.25">
      <c r="B54" s="214" t="str">
        <f>CONCATENATE("Total ",B49)</f>
        <v>Total Perfil 2 Otoño</v>
      </c>
      <c r="C54" s="218">
        <f t="shared" ref="C54:AA54" ca="1" si="28">SUM(C51:C53)</f>
        <v>300.5</v>
      </c>
      <c r="D54" s="218">
        <f t="shared" ca="1" si="28"/>
        <v>300.5</v>
      </c>
      <c r="E54" s="218">
        <f t="shared" ca="1" si="28"/>
        <v>300.5</v>
      </c>
      <c r="F54" s="218">
        <f t="shared" ca="1" si="28"/>
        <v>300.5</v>
      </c>
      <c r="G54" s="218">
        <f t="shared" ca="1" si="28"/>
        <v>300.5</v>
      </c>
      <c r="H54" s="218">
        <f t="shared" ca="1" si="28"/>
        <v>300.5</v>
      </c>
      <c r="I54" s="218">
        <f t="shared" ca="1" si="28"/>
        <v>300.5</v>
      </c>
      <c r="J54" s="218">
        <f t="shared" ca="1" si="28"/>
        <v>300.5</v>
      </c>
      <c r="K54" s="218">
        <f t="shared" ca="1" si="28"/>
        <v>300.5</v>
      </c>
      <c r="L54" s="218">
        <f t="shared" ca="1" si="28"/>
        <v>188.005</v>
      </c>
      <c r="M54" s="218">
        <f t="shared" ca="1" si="28"/>
        <v>143.005</v>
      </c>
      <c r="N54" s="218">
        <f t="shared" ca="1" si="28"/>
        <v>226.005</v>
      </c>
      <c r="O54" s="218">
        <f t="shared" ca="1" si="28"/>
        <v>271.005</v>
      </c>
      <c r="P54" s="218">
        <f t="shared" ca="1" si="28"/>
        <v>271.005</v>
      </c>
      <c r="Q54" s="218">
        <f t="shared" ca="1" si="28"/>
        <v>175.5</v>
      </c>
      <c r="R54" s="218">
        <f t="shared" ca="1" si="28"/>
        <v>175.5</v>
      </c>
      <c r="S54" s="218">
        <f t="shared" ca="1" si="28"/>
        <v>100.5</v>
      </c>
      <c r="T54" s="218">
        <f t="shared" ca="1" si="28"/>
        <v>300.5</v>
      </c>
      <c r="U54" s="218">
        <f t="shared" ca="1" si="28"/>
        <v>300.5</v>
      </c>
      <c r="V54" s="218">
        <f t="shared" ca="1" si="28"/>
        <v>300.5</v>
      </c>
      <c r="W54" s="218">
        <f t="shared" ca="1" si="28"/>
        <v>300.5</v>
      </c>
      <c r="X54" s="218">
        <f t="shared" ca="1" si="28"/>
        <v>300.5</v>
      </c>
      <c r="Y54" s="218">
        <f t="shared" ca="1" si="28"/>
        <v>300.5</v>
      </c>
      <c r="Z54" s="218">
        <f t="shared" ca="1" si="28"/>
        <v>300.5</v>
      </c>
      <c r="AA54" s="218">
        <f t="shared" ca="1" si="28"/>
        <v>300.5</v>
      </c>
    </row>
    <row r="55" spans="2:27" s="166" customFormat="1" x14ac:dyDescent="0.25">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row>
    <row r="56" spans="2:27" s="166" customFormat="1" x14ac:dyDescent="0.25">
      <c r="B56" s="122" t="s">
        <v>314</v>
      </c>
      <c r="C56" s="121"/>
      <c r="D56" s="121"/>
      <c r="E56" s="121"/>
      <c r="F56" s="121"/>
      <c r="G56" s="121"/>
      <c r="H56" s="121"/>
      <c r="I56" s="121"/>
      <c r="J56" s="121"/>
      <c r="K56" s="121"/>
      <c r="L56" s="121"/>
      <c r="M56" s="121"/>
      <c r="N56" s="121"/>
      <c r="O56" s="121"/>
      <c r="P56" s="121"/>
      <c r="Q56" s="121"/>
      <c r="R56" s="121"/>
      <c r="S56" s="121"/>
      <c r="T56" s="121"/>
      <c r="U56" s="121"/>
      <c r="V56" s="121"/>
      <c r="W56" s="121"/>
      <c r="X56" s="121"/>
      <c r="Y56" s="121"/>
      <c r="Z56" s="121"/>
      <c r="AA56" s="121"/>
    </row>
    <row r="57" spans="2:27" s="166" customFormat="1" x14ac:dyDescent="0.25">
      <c r="B57" s="214" t="s">
        <v>191</v>
      </c>
      <c r="C57" s="216">
        <v>0</v>
      </c>
      <c r="D57" s="216">
        <v>1</v>
      </c>
      <c r="E57" s="216">
        <v>2</v>
      </c>
      <c r="F57" s="216">
        <v>3</v>
      </c>
      <c r="G57" s="216">
        <v>4</v>
      </c>
      <c r="H57" s="216">
        <v>5</v>
      </c>
      <c r="I57" s="216">
        <v>6</v>
      </c>
      <c r="J57" s="216">
        <v>7</v>
      </c>
      <c r="K57" s="216">
        <v>8</v>
      </c>
      <c r="L57" s="216">
        <v>9</v>
      </c>
      <c r="M57" s="216">
        <v>10</v>
      </c>
      <c r="N57" s="216">
        <v>11</v>
      </c>
      <c r="O57" s="216">
        <v>12</v>
      </c>
      <c r="P57" s="216">
        <v>13</v>
      </c>
      <c r="Q57" s="216">
        <v>14</v>
      </c>
      <c r="R57" s="216">
        <v>15</v>
      </c>
      <c r="S57" s="216">
        <v>16</v>
      </c>
      <c r="T57" s="216">
        <v>17</v>
      </c>
      <c r="U57" s="216">
        <v>18</v>
      </c>
      <c r="V57" s="216">
        <v>19</v>
      </c>
      <c r="W57" s="216">
        <v>20</v>
      </c>
      <c r="X57" s="216">
        <v>21</v>
      </c>
      <c r="Y57" s="216">
        <v>22</v>
      </c>
      <c r="Z57" s="216">
        <v>23</v>
      </c>
      <c r="AA57" s="216">
        <v>24</v>
      </c>
    </row>
    <row r="58" spans="2:27" s="166" customFormat="1" x14ac:dyDescent="0.25">
      <c r="B58" s="215" t="s">
        <v>224</v>
      </c>
      <c r="C58" s="217">
        <f t="shared" ref="C58:AA58" ca="1" si="29">SUMIFS(INDIRECT($AE$5),INDIRECT($AE10),C$2,INDIRECT($AF10),C$3)</f>
        <v>350.5</v>
      </c>
      <c r="D58" s="217">
        <f t="shared" ca="1" si="29"/>
        <v>350.5</v>
      </c>
      <c r="E58" s="217">
        <f t="shared" ca="1" si="29"/>
        <v>350.5</v>
      </c>
      <c r="F58" s="217">
        <f t="shared" ca="1" si="29"/>
        <v>350.5</v>
      </c>
      <c r="G58" s="217">
        <f t="shared" ca="1" si="29"/>
        <v>350.5</v>
      </c>
      <c r="H58" s="217">
        <f t="shared" ca="1" si="29"/>
        <v>350.5</v>
      </c>
      <c r="I58" s="217">
        <f t="shared" ca="1" si="29"/>
        <v>350.5</v>
      </c>
      <c r="J58" s="217">
        <f t="shared" ca="1" si="29"/>
        <v>350.5</v>
      </c>
      <c r="K58" s="217">
        <f t="shared" ca="1" si="29"/>
        <v>350.5</v>
      </c>
      <c r="L58" s="217">
        <f t="shared" ca="1" si="29"/>
        <v>184.65</v>
      </c>
      <c r="M58" s="217">
        <f t="shared" ca="1" si="29"/>
        <v>139.65</v>
      </c>
      <c r="N58" s="217">
        <f t="shared" ca="1" si="29"/>
        <v>155.65</v>
      </c>
      <c r="O58" s="217">
        <f t="shared" ca="1" si="29"/>
        <v>155.65</v>
      </c>
      <c r="P58" s="217">
        <f t="shared" ca="1" si="29"/>
        <v>155.65</v>
      </c>
      <c r="Q58" s="217">
        <f t="shared" ca="1" si="29"/>
        <v>100.5</v>
      </c>
      <c r="R58" s="217">
        <f t="shared" ca="1" si="29"/>
        <v>100.5</v>
      </c>
      <c r="S58" s="217">
        <f t="shared" ca="1" si="29"/>
        <v>100.5</v>
      </c>
      <c r="T58" s="217">
        <f t="shared" ca="1" si="29"/>
        <v>100.5</v>
      </c>
      <c r="U58" s="217">
        <f t="shared" ca="1" si="29"/>
        <v>100.5</v>
      </c>
      <c r="V58" s="217">
        <f t="shared" ca="1" si="29"/>
        <v>100.5</v>
      </c>
      <c r="W58" s="217">
        <f t="shared" ca="1" si="29"/>
        <v>100.5</v>
      </c>
      <c r="X58" s="217">
        <f t="shared" ca="1" si="29"/>
        <v>100.5</v>
      </c>
      <c r="Y58" s="217">
        <f t="shared" ca="1" si="29"/>
        <v>100.5</v>
      </c>
      <c r="Z58" s="217">
        <f t="shared" ca="1" si="29"/>
        <v>100.5</v>
      </c>
      <c r="AA58" s="217">
        <f t="shared" ca="1" si="29"/>
        <v>100.5</v>
      </c>
    </row>
    <row r="59" spans="2:27" s="166" customFormat="1" x14ac:dyDescent="0.25">
      <c r="B59" s="215" t="s">
        <v>225</v>
      </c>
      <c r="C59" s="217">
        <f t="shared" ref="C59:AA59" ca="1" si="30">SUMIFS(INDIRECT($AE$5),INDIRECT($AE11),C$2,INDIRECT($AF11),C$3)</f>
        <v>0</v>
      </c>
      <c r="D59" s="217">
        <f t="shared" ca="1" si="30"/>
        <v>0</v>
      </c>
      <c r="E59" s="217">
        <f t="shared" ca="1" si="30"/>
        <v>0</v>
      </c>
      <c r="F59" s="217">
        <f t="shared" ca="1" si="30"/>
        <v>0</v>
      </c>
      <c r="G59" s="217">
        <f t="shared" ca="1" si="30"/>
        <v>0</v>
      </c>
      <c r="H59" s="217">
        <f t="shared" ca="1" si="30"/>
        <v>0</v>
      </c>
      <c r="I59" s="217">
        <f t="shared" ca="1" si="30"/>
        <v>0</v>
      </c>
      <c r="J59" s="217">
        <f t="shared" ca="1" si="30"/>
        <v>0</v>
      </c>
      <c r="K59" s="217">
        <f t="shared" ca="1" si="30"/>
        <v>0</v>
      </c>
      <c r="L59" s="217">
        <f t="shared" ca="1" si="30"/>
        <v>0</v>
      </c>
      <c r="M59" s="217">
        <f t="shared" ca="1" si="30"/>
        <v>0</v>
      </c>
      <c r="N59" s="217">
        <f t="shared" ca="1" si="30"/>
        <v>0</v>
      </c>
      <c r="O59" s="217">
        <f t="shared" ca="1" si="30"/>
        <v>45</v>
      </c>
      <c r="P59" s="217">
        <f t="shared" ca="1" si="30"/>
        <v>45</v>
      </c>
      <c r="Q59" s="217">
        <f t="shared" ca="1" si="30"/>
        <v>0</v>
      </c>
      <c r="R59" s="217">
        <f t="shared" ca="1" si="30"/>
        <v>0</v>
      </c>
      <c r="S59" s="217">
        <f t="shared" ca="1" si="30"/>
        <v>0</v>
      </c>
      <c r="T59" s="217">
        <f t="shared" ca="1" si="30"/>
        <v>250</v>
      </c>
      <c r="U59" s="217">
        <f t="shared" ca="1" si="30"/>
        <v>250</v>
      </c>
      <c r="V59" s="217">
        <f t="shared" ca="1" si="30"/>
        <v>250</v>
      </c>
      <c r="W59" s="217">
        <f t="shared" ca="1" si="30"/>
        <v>250</v>
      </c>
      <c r="X59" s="217">
        <f t="shared" ca="1" si="30"/>
        <v>250</v>
      </c>
      <c r="Y59" s="217">
        <f t="shared" ca="1" si="30"/>
        <v>250</v>
      </c>
      <c r="Z59" s="217">
        <f t="shared" ca="1" si="30"/>
        <v>250</v>
      </c>
      <c r="AA59" s="217">
        <f t="shared" ca="1" si="30"/>
        <v>250</v>
      </c>
    </row>
    <row r="60" spans="2:27" s="166" customFormat="1" x14ac:dyDescent="0.25">
      <c r="B60" s="215" t="s">
        <v>226</v>
      </c>
      <c r="C60" s="217">
        <f t="shared" ref="C60:AA60" ca="1" si="31">SUMIFS(INDIRECT($AE$5),INDIRECT($AE12),C$2,INDIRECT($AF12),C$3)</f>
        <v>0</v>
      </c>
      <c r="D60" s="217">
        <f t="shared" ca="1" si="31"/>
        <v>0</v>
      </c>
      <c r="E60" s="217">
        <f t="shared" ca="1" si="31"/>
        <v>0</v>
      </c>
      <c r="F60" s="217">
        <f t="shared" ca="1" si="31"/>
        <v>0</v>
      </c>
      <c r="G60" s="217">
        <f t="shared" ca="1" si="31"/>
        <v>0</v>
      </c>
      <c r="H60" s="217">
        <f t="shared" ca="1" si="31"/>
        <v>0</v>
      </c>
      <c r="I60" s="217">
        <f t="shared" ca="1" si="31"/>
        <v>0</v>
      </c>
      <c r="J60" s="217">
        <f t="shared" ca="1" si="31"/>
        <v>0</v>
      </c>
      <c r="K60" s="217">
        <f t="shared" ca="1" si="31"/>
        <v>0</v>
      </c>
      <c r="L60" s="217">
        <f t="shared" ca="1" si="31"/>
        <v>0</v>
      </c>
      <c r="M60" s="217">
        <f t="shared" ca="1" si="31"/>
        <v>0</v>
      </c>
      <c r="N60" s="217">
        <f t="shared" ca="1" si="31"/>
        <v>0</v>
      </c>
      <c r="O60" s="217">
        <f t="shared" ca="1" si="31"/>
        <v>0</v>
      </c>
      <c r="P60" s="217">
        <f t="shared" ca="1" si="31"/>
        <v>0</v>
      </c>
      <c r="Q60" s="217">
        <f t="shared" ca="1" si="31"/>
        <v>0</v>
      </c>
      <c r="R60" s="217">
        <f t="shared" ca="1" si="31"/>
        <v>0</v>
      </c>
      <c r="S60" s="217">
        <f t="shared" ca="1" si="31"/>
        <v>0</v>
      </c>
      <c r="T60" s="217">
        <f t="shared" ca="1" si="31"/>
        <v>0</v>
      </c>
      <c r="U60" s="217">
        <f t="shared" ca="1" si="31"/>
        <v>0</v>
      </c>
      <c r="V60" s="217">
        <f t="shared" ca="1" si="31"/>
        <v>0</v>
      </c>
      <c r="W60" s="217">
        <f t="shared" ca="1" si="31"/>
        <v>0</v>
      </c>
      <c r="X60" s="217">
        <f t="shared" ca="1" si="31"/>
        <v>0</v>
      </c>
      <c r="Y60" s="217">
        <f t="shared" ca="1" si="31"/>
        <v>0</v>
      </c>
      <c r="Z60" s="217">
        <f t="shared" ca="1" si="31"/>
        <v>0</v>
      </c>
      <c r="AA60" s="217">
        <f t="shared" ca="1" si="31"/>
        <v>0</v>
      </c>
    </row>
    <row r="61" spans="2:27" s="166" customFormat="1" x14ac:dyDescent="0.25">
      <c r="B61" s="214" t="str">
        <f>CONCATENATE("Total ",B56)</f>
        <v>Total Perfil 2 Invierno</v>
      </c>
      <c r="C61" s="218">
        <f t="shared" ref="C61:AA61" ca="1" si="32">SUM(C58:C60)</f>
        <v>350.5</v>
      </c>
      <c r="D61" s="218">
        <f t="shared" ca="1" si="32"/>
        <v>350.5</v>
      </c>
      <c r="E61" s="218">
        <f t="shared" ca="1" si="32"/>
        <v>350.5</v>
      </c>
      <c r="F61" s="218">
        <f t="shared" ca="1" si="32"/>
        <v>350.5</v>
      </c>
      <c r="G61" s="218">
        <f t="shared" ca="1" si="32"/>
        <v>350.5</v>
      </c>
      <c r="H61" s="218">
        <f t="shared" ca="1" si="32"/>
        <v>350.5</v>
      </c>
      <c r="I61" s="218">
        <f t="shared" ca="1" si="32"/>
        <v>350.5</v>
      </c>
      <c r="J61" s="218">
        <f t="shared" ca="1" si="32"/>
        <v>350.5</v>
      </c>
      <c r="K61" s="218">
        <f t="shared" ca="1" si="32"/>
        <v>350.5</v>
      </c>
      <c r="L61" s="218">
        <f t="shared" ca="1" si="32"/>
        <v>184.65</v>
      </c>
      <c r="M61" s="218">
        <f t="shared" ca="1" si="32"/>
        <v>139.65</v>
      </c>
      <c r="N61" s="218">
        <f t="shared" ca="1" si="32"/>
        <v>155.65</v>
      </c>
      <c r="O61" s="218">
        <f t="shared" ca="1" si="32"/>
        <v>200.65</v>
      </c>
      <c r="P61" s="218">
        <f t="shared" ca="1" si="32"/>
        <v>200.65</v>
      </c>
      <c r="Q61" s="218">
        <f t="shared" ca="1" si="32"/>
        <v>100.5</v>
      </c>
      <c r="R61" s="218">
        <f t="shared" ca="1" si="32"/>
        <v>100.5</v>
      </c>
      <c r="S61" s="218">
        <f t="shared" ca="1" si="32"/>
        <v>100.5</v>
      </c>
      <c r="T61" s="218">
        <f t="shared" ca="1" si="32"/>
        <v>350.5</v>
      </c>
      <c r="U61" s="218">
        <f t="shared" ca="1" si="32"/>
        <v>350.5</v>
      </c>
      <c r="V61" s="218">
        <f t="shared" ca="1" si="32"/>
        <v>350.5</v>
      </c>
      <c r="W61" s="218">
        <f t="shared" ca="1" si="32"/>
        <v>350.5</v>
      </c>
      <c r="X61" s="218">
        <f t="shared" ca="1" si="32"/>
        <v>350.5</v>
      </c>
      <c r="Y61" s="218">
        <f t="shared" ca="1" si="32"/>
        <v>350.5</v>
      </c>
      <c r="Z61" s="218">
        <f t="shared" ca="1" si="32"/>
        <v>350.5</v>
      </c>
      <c r="AA61" s="218">
        <f t="shared" ca="1" si="32"/>
        <v>350.5</v>
      </c>
    </row>
    <row r="62" spans="2:27" s="166" customFormat="1" x14ac:dyDescent="0.25">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row>
    <row r="63" spans="2:27" s="166" customFormat="1" x14ac:dyDescent="0.25">
      <c r="B63" s="122" t="s">
        <v>316</v>
      </c>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row>
    <row r="64" spans="2:27" s="166" customFormat="1" x14ac:dyDescent="0.25">
      <c r="B64" s="214" t="s">
        <v>191</v>
      </c>
      <c r="C64" s="216">
        <v>0</v>
      </c>
      <c r="D64" s="216">
        <v>1</v>
      </c>
      <c r="E64" s="216">
        <v>2</v>
      </c>
      <c r="F64" s="216">
        <v>3</v>
      </c>
      <c r="G64" s="216">
        <v>4</v>
      </c>
      <c r="H64" s="216">
        <v>5</v>
      </c>
      <c r="I64" s="216">
        <v>6</v>
      </c>
      <c r="J64" s="216">
        <v>7</v>
      </c>
      <c r="K64" s="216">
        <v>8</v>
      </c>
      <c r="L64" s="216">
        <v>9</v>
      </c>
      <c r="M64" s="216">
        <v>10</v>
      </c>
      <c r="N64" s="216">
        <v>11</v>
      </c>
      <c r="O64" s="216">
        <v>12</v>
      </c>
      <c r="P64" s="216">
        <v>13</v>
      </c>
      <c r="Q64" s="216">
        <v>14</v>
      </c>
      <c r="R64" s="216">
        <v>15</v>
      </c>
      <c r="S64" s="216">
        <v>16</v>
      </c>
      <c r="T64" s="216">
        <v>17</v>
      </c>
      <c r="U64" s="216">
        <v>18</v>
      </c>
      <c r="V64" s="216">
        <v>19</v>
      </c>
      <c r="W64" s="216">
        <v>20</v>
      </c>
      <c r="X64" s="216">
        <v>21</v>
      </c>
      <c r="Y64" s="216">
        <v>22</v>
      </c>
      <c r="Z64" s="216">
        <v>23</v>
      </c>
      <c r="AA64" s="216">
        <v>24</v>
      </c>
    </row>
    <row r="65" spans="2:39" s="166" customFormat="1" x14ac:dyDescent="0.25">
      <c r="B65" s="215" t="s">
        <v>224</v>
      </c>
      <c r="C65" s="217">
        <f t="shared" ref="C65:AA65" ca="1" si="33">SUMIFS(INDIRECT($AE$6),INDIRECT($AE10),C$2,INDIRECT($AF10),C$3)</f>
        <v>300.5</v>
      </c>
      <c r="D65" s="217">
        <f t="shared" ca="1" si="33"/>
        <v>300.5</v>
      </c>
      <c r="E65" s="217">
        <f t="shared" ca="1" si="33"/>
        <v>300.5</v>
      </c>
      <c r="F65" s="217">
        <f t="shared" ca="1" si="33"/>
        <v>300.5</v>
      </c>
      <c r="G65" s="217">
        <f t="shared" ca="1" si="33"/>
        <v>300.5</v>
      </c>
      <c r="H65" s="217">
        <f t="shared" ca="1" si="33"/>
        <v>300.5</v>
      </c>
      <c r="I65" s="217">
        <f t="shared" ca="1" si="33"/>
        <v>300.5</v>
      </c>
      <c r="J65" s="217">
        <f t="shared" ca="1" si="33"/>
        <v>300.5</v>
      </c>
      <c r="K65" s="217">
        <f t="shared" ca="1" si="33"/>
        <v>300.5</v>
      </c>
      <c r="L65" s="217">
        <f t="shared" ca="1" si="33"/>
        <v>188.005</v>
      </c>
      <c r="M65" s="217">
        <f t="shared" ca="1" si="33"/>
        <v>143.005</v>
      </c>
      <c r="N65" s="217">
        <f t="shared" ca="1" si="33"/>
        <v>201.005</v>
      </c>
      <c r="O65" s="217">
        <f t="shared" ca="1" si="33"/>
        <v>201.005</v>
      </c>
      <c r="P65" s="217">
        <f t="shared" ca="1" si="33"/>
        <v>201.005</v>
      </c>
      <c r="Q65" s="217">
        <f t="shared" ca="1" si="33"/>
        <v>150.5</v>
      </c>
      <c r="R65" s="217">
        <f t="shared" ca="1" si="33"/>
        <v>150.5</v>
      </c>
      <c r="S65" s="217">
        <f t="shared" ca="1" si="33"/>
        <v>100.5</v>
      </c>
      <c r="T65" s="217">
        <f t="shared" ca="1" si="33"/>
        <v>100.5</v>
      </c>
      <c r="U65" s="217">
        <f t="shared" ca="1" si="33"/>
        <v>100.5</v>
      </c>
      <c r="V65" s="217">
        <f t="shared" ca="1" si="33"/>
        <v>100.5</v>
      </c>
      <c r="W65" s="217">
        <f t="shared" ca="1" si="33"/>
        <v>100.5</v>
      </c>
      <c r="X65" s="217">
        <f t="shared" ca="1" si="33"/>
        <v>100.5</v>
      </c>
      <c r="Y65" s="217">
        <f t="shared" ca="1" si="33"/>
        <v>100.5</v>
      </c>
      <c r="Z65" s="217">
        <f t="shared" ca="1" si="33"/>
        <v>100.5</v>
      </c>
      <c r="AA65" s="217">
        <f t="shared" ca="1" si="33"/>
        <v>100.5</v>
      </c>
    </row>
    <row r="66" spans="2:39" s="166" customFormat="1" x14ac:dyDescent="0.25">
      <c r="B66" s="215" t="s">
        <v>225</v>
      </c>
      <c r="C66" s="217">
        <f t="shared" ref="C66:AA66" ca="1" si="34">SUMIFS(INDIRECT($AE$6),INDIRECT($AE11),C$2,INDIRECT($AF11),C$3)</f>
        <v>0</v>
      </c>
      <c r="D66" s="217">
        <f t="shared" ca="1" si="34"/>
        <v>0</v>
      </c>
      <c r="E66" s="217">
        <f t="shared" ca="1" si="34"/>
        <v>0</v>
      </c>
      <c r="F66" s="217">
        <f t="shared" ca="1" si="34"/>
        <v>0</v>
      </c>
      <c r="G66" s="217">
        <f t="shared" ca="1" si="34"/>
        <v>0</v>
      </c>
      <c r="H66" s="217">
        <f t="shared" ca="1" si="34"/>
        <v>0</v>
      </c>
      <c r="I66" s="217">
        <f t="shared" ca="1" si="34"/>
        <v>0</v>
      </c>
      <c r="J66" s="217">
        <f t="shared" ca="1" si="34"/>
        <v>0</v>
      </c>
      <c r="K66" s="217">
        <f t="shared" ca="1" si="34"/>
        <v>0</v>
      </c>
      <c r="L66" s="217">
        <f t="shared" ca="1" si="34"/>
        <v>0</v>
      </c>
      <c r="M66" s="217">
        <f t="shared" ca="1" si="34"/>
        <v>0</v>
      </c>
      <c r="N66" s="217">
        <f t="shared" ca="1" si="34"/>
        <v>0</v>
      </c>
      <c r="O66" s="217">
        <f t="shared" ca="1" si="34"/>
        <v>45</v>
      </c>
      <c r="P66" s="217">
        <f t="shared" ca="1" si="34"/>
        <v>45</v>
      </c>
      <c r="Q66" s="217">
        <f t="shared" ca="1" si="34"/>
        <v>0</v>
      </c>
      <c r="R66" s="217">
        <f t="shared" ca="1" si="34"/>
        <v>0</v>
      </c>
      <c r="S66" s="217">
        <f t="shared" ca="1" si="34"/>
        <v>0</v>
      </c>
      <c r="T66" s="217">
        <f t="shared" ca="1" si="34"/>
        <v>200</v>
      </c>
      <c r="U66" s="217">
        <f t="shared" ca="1" si="34"/>
        <v>200</v>
      </c>
      <c r="V66" s="217">
        <f t="shared" ca="1" si="34"/>
        <v>200</v>
      </c>
      <c r="W66" s="217">
        <f t="shared" ca="1" si="34"/>
        <v>200</v>
      </c>
      <c r="X66" s="217">
        <f t="shared" ca="1" si="34"/>
        <v>200</v>
      </c>
      <c r="Y66" s="217">
        <f t="shared" ca="1" si="34"/>
        <v>200</v>
      </c>
      <c r="Z66" s="217">
        <f t="shared" ca="1" si="34"/>
        <v>200</v>
      </c>
      <c r="AA66" s="217">
        <f t="shared" ca="1" si="34"/>
        <v>200</v>
      </c>
    </row>
    <row r="67" spans="2:39" s="166" customFormat="1" x14ac:dyDescent="0.25">
      <c r="B67" s="215" t="s">
        <v>226</v>
      </c>
      <c r="C67" s="217">
        <f t="shared" ref="C67:AA67" ca="1" si="35">SUMIFS(INDIRECT($AE$6),INDIRECT($AE12),C$2,INDIRECT($AF12),C$3)</f>
        <v>0</v>
      </c>
      <c r="D67" s="217">
        <f t="shared" ca="1" si="35"/>
        <v>0</v>
      </c>
      <c r="E67" s="217">
        <f t="shared" ca="1" si="35"/>
        <v>0</v>
      </c>
      <c r="F67" s="217">
        <f t="shared" ca="1" si="35"/>
        <v>0</v>
      </c>
      <c r="G67" s="217">
        <f t="shared" ca="1" si="35"/>
        <v>0</v>
      </c>
      <c r="H67" s="217">
        <f t="shared" ca="1" si="35"/>
        <v>0</v>
      </c>
      <c r="I67" s="217">
        <f t="shared" ca="1" si="35"/>
        <v>0</v>
      </c>
      <c r="J67" s="217">
        <f t="shared" ca="1" si="35"/>
        <v>0</v>
      </c>
      <c r="K67" s="217">
        <f t="shared" ca="1" si="35"/>
        <v>0</v>
      </c>
      <c r="L67" s="217">
        <f t="shared" ca="1" si="35"/>
        <v>0</v>
      </c>
      <c r="M67" s="217">
        <f t="shared" ca="1" si="35"/>
        <v>0</v>
      </c>
      <c r="N67" s="217">
        <f t="shared" ca="1" si="35"/>
        <v>0</v>
      </c>
      <c r="O67" s="217">
        <f t="shared" ca="1" si="35"/>
        <v>0</v>
      </c>
      <c r="P67" s="217">
        <f t="shared" ca="1" si="35"/>
        <v>0</v>
      </c>
      <c r="Q67" s="217">
        <f t="shared" ca="1" si="35"/>
        <v>0</v>
      </c>
      <c r="R67" s="217">
        <f t="shared" ca="1" si="35"/>
        <v>0</v>
      </c>
      <c r="S67" s="217">
        <f t="shared" ca="1" si="35"/>
        <v>0</v>
      </c>
      <c r="T67" s="217">
        <f t="shared" ca="1" si="35"/>
        <v>0</v>
      </c>
      <c r="U67" s="217">
        <f t="shared" ca="1" si="35"/>
        <v>0</v>
      </c>
      <c r="V67" s="217">
        <f t="shared" ca="1" si="35"/>
        <v>0</v>
      </c>
      <c r="W67" s="217">
        <f t="shared" ca="1" si="35"/>
        <v>0</v>
      </c>
      <c r="X67" s="217">
        <f t="shared" ca="1" si="35"/>
        <v>0</v>
      </c>
      <c r="Y67" s="217">
        <f t="shared" ca="1" si="35"/>
        <v>0</v>
      </c>
      <c r="Z67" s="217">
        <f t="shared" ca="1" si="35"/>
        <v>0</v>
      </c>
      <c r="AA67" s="217">
        <f t="shared" ca="1" si="35"/>
        <v>0</v>
      </c>
    </row>
    <row r="68" spans="2:39" s="166" customFormat="1" x14ac:dyDescent="0.25">
      <c r="B68" s="214" t="str">
        <f>CONCATENATE("Total ",B63)</f>
        <v>Total Perfil 2 Primavera</v>
      </c>
      <c r="C68" s="218">
        <f t="shared" ref="C68:AA68" ca="1" si="36">SUM(C65:C67)</f>
        <v>300.5</v>
      </c>
      <c r="D68" s="218">
        <f t="shared" ca="1" si="36"/>
        <v>300.5</v>
      </c>
      <c r="E68" s="218">
        <f t="shared" ca="1" si="36"/>
        <v>300.5</v>
      </c>
      <c r="F68" s="218">
        <f t="shared" ca="1" si="36"/>
        <v>300.5</v>
      </c>
      <c r="G68" s="218">
        <f t="shared" ca="1" si="36"/>
        <v>300.5</v>
      </c>
      <c r="H68" s="218">
        <f t="shared" ca="1" si="36"/>
        <v>300.5</v>
      </c>
      <c r="I68" s="218">
        <f t="shared" ca="1" si="36"/>
        <v>300.5</v>
      </c>
      <c r="J68" s="218">
        <f t="shared" ca="1" si="36"/>
        <v>300.5</v>
      </c>
      <c r="K68" s="218">
        <f t="shared" ca="1" si="36"/>
        <v>300.5</v>
      </c>
      <c r="L68" s="218">
        <f t="shared" ca="1" si="36"/>
        <v>188.005</v>
      </c>
      <c r="M68" s="218">
        <f t="shared" ca="1" si="36"/>
        <v>143.005</v>
      </c>
      <c r="N68" s="218">
        <f t="shared" ca="1" si="36"/>
        <v>201.005</v>
      </c>
      <c r="O68" s="218">
        <f t="shared" ca="1" si="36"/>
        <v>246.005</v>
      </c>
      <c r="P68" s="218">
        <f t="shared" ca="1" si="36"/>
        <v>246.005</v>
      </c>
      <c r="Q68" s="218">
        <f t="shared" ca="1" si="36"/>
        <v>150.5</v>
      </c>
      <c r="R68" s="218">
        <f t="shared" ca="1" si="36"/>
        <v>150.5</v>
      </c>
      <c r="S68" s="218">
        <f t="shared" ca="1" si="36"/>
        <v>100.5</v>
      </c>
      <c r="T68" s="218">
        <f t="shared" ca="1" si="36"/>
        <v>300.5</v>
      </c>
      <c r="U68" s="218">
        <f t="shared" ca="1" si="36"/>
        <v>300.5</v>
      </c>
      <c r="V68" s="218">
        <f t="shared" ca="1" si="36"/>
        <v>300.5</v>
      </c>
      <c r="W68" s="218">
        <f t="shared" ca="1" si="36"/>
        <v>300.5</v>
      </c>
      <c r="X68" s="218">
        <f t="shared" ca="1" si="36"/>
        <v>300.5</v>
      </c>
      <c r="Y68" s="218">
        <f t="shared" ca="1" si="36"/>
        <v>300.5</v>
      </c>
      <c r="Z68" s="218">
        <f t="shared" ca="1" si="36"/>
        <v>300.5</v>
      </c>
      <c r="AA68" s="218">
        <f t="shared" ca="1" si="36"/>
        <v>300.5</v>
      </c>
    </row>
    <row r="69" spans="2:39" s="166" customFormat="1" x14ac:dyDescent="0.25">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K69"/>
      <c r="AL69"/>
      <c r="AM69"/>
    </row>
    <row r="73" spans="2:39" x14ac:dyDescent="0.25">
      <c r="B73" s="166"/>
    </row>
    <row r="74" spans="2:39" x14ac:dyDescent="0.25">
      <c r="B74" s="166"/>
    </row>
    <row r="75" spans="2:39" x14ac:dyDescent="0.25">
      <c r="B75" s="166"/>
    </row>
  </sheetData>
  <mergeCells count="2">
    <mergeCell ref="AC2:AF2"/>
    <mergeCell ref="AI11:AJ11"/>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W33"/>
  <sheetViews>
    <sheetView workbookViewId="0">
      <selection activeCell="U2" sqref="U2:U6"/>
    </sheetView>
  </sheetViews>
  <sheetFormatPr baseColWidth="10" defaultRowHeight="15" x14ac:dyDescent="0.25"/>
  <cols>
    <col min="1" max="1" width="17.85546875" style="172" customWidth="1"/>
    <col min="2" max="2" width="15.42578125" customWidth="1"/>
    <col min="4" max="4" width="11.42578125" style="172"/>
    <col min="5" max="5" width="13.7109375" customWidth="1"/>
    <col min="6" max="6" width="13.85546875" customWidth="1"/>
    <col min="7" max="7" width="14.7109375" customWidth="1"/>
    <col min="8" max="8" width="24.42578125" style="174" bestFit="1" customWidth="1"/>
    <col min="11" max="11" width="29" customWidth="1"/>
    <col min="12" max="12" width="22" style="174" customWidth="1"/>
    <col min="13" max="18" width="15.7109375" customWidth="1"/>
    <col min="19" max="19" width="30.7109375" style="174" customWidth="1"/>
    <col min="20" max="20" width="30.7109375" style="83" customWidth="1"/>
    <col min="21" max="21" width="40.140625" style="227" customWidth="1"/>
    <col min="22" max="22" width="20.7109375" customWidth="1"/>
    <col min="23" max="23" width="17.140625" style="174" bestFit="1" customWidth="1"/>
  </cols>
  <sheetData>
    <row r="1" spans="1:23" x14ac:dyDescent="0.25">
      <c r="A1" s="171" t="s">
        <v>111</v>
      </c>
      <c r="B1" s="122" t="s">
        <v>121</v>
      </c>
      <c r="C1" s="122" t="s">
        <v>122</v>
      </c>
      <c r="D1" s="171" t="s">
        <v>327</v>
      </c>
      <c r="E1" s="122" t="s">
        <v>158</v>
      </c>
      <c r="F1" s="122" t="s">
        <v>122</v>
      </c>
      <c r="G1" s="122" t="s">
        <v>159</v>
      </c>
      <c r="H1" s="173" t="s">
        <v>281</v>
      </c>
      <c r="I1" s="122" t="s">
        <v>282</v>
      </c>
      <c r="J1" s="122" t="s">
        <v>283</v>
      </c>
      <c r="K1" s="122" t="s">
        <v>296</v>
      </c>
      <c r="M1" s="170" t="s">
        <v>247</v>
      </c>
      <c r="N1" s="170" t="s">
        <v>263</v>
      </c>
      <c r="O1" s="170" t="s">
        <v>253</v>
      </c>
      <c r="P1" s="170" t="s">
        <v>254</v>
      </c>
      <c r="Q1" s="170" t="s">
        <v>264</v>
      </c>
      <c r="R1" s="122" t="s">
        <v>265</v>
      </c>
      <c r="S1" s="173" t="s">
        <v>397</v>
      </c>
      <c r="T1" s="224" t="s">
        <v>464</v>
      </c>
      <c r="U1" s="226" t="s">
        <v>398</v>
      </c>
      <c r="V1" s="230" t="s">
        <v>448</v>
      </c>
      <c r="W1" s="173" t="s">
        <v>641</v>
      </c>
    </row>
    <row r="2" spans="1:23" x14ac:dyDescent="0.25">
      <c r="A2" s="172" t="s">
        <v>87</v>
      </c>
      <c r="B2">
        <v>50</v>
      </c>
      <c r="C2" s="97">
        <v>1388625</v>
      </c>
      <c r="D2" s="172" t="s">
        <v>132</v>
      </c>
      <c r="E2">
        <v>0.78</v>
      </c>
      <c r="F2" s="97">
        <v>80000</v>
      </c>
      <c r="G2">
        <v>1</v>
      </c>
      <c r="H2" s="174" t="s">
        <v>328</v>
      </c>
      <c r="I2" s="166">
        <v>16.05</v>
      </c>
      <c r="J2" s="166" t="s">
        <v>284</v>
      </c>
      <c r="K2" s="166" t="s">
        <v>297</v>
      </c>
      <c r="L2" s="175" t="s">
        <v>256</v>
      </c>
      <c r="M2" s="121" t="s">
        <v>255</v>
      </c>
      <c r="N2" s="154">
        <v>0.83333333333333337</v>
      </c>
      <c r="O2" s="121">
        <v>100</v>
      </c>
      <c r="P2" s="121">
        <v>100</v>
      </c>
      <c r="Q2" s="121">
        <v>25000</v>
      </c>
      <c r="R2" s="154">
        <v>6.8493150684931505</v>
      </c>
      <c r="S2" s="174" t="s">
        <v>399</v>
      </c>
      <c r="T2" s="83" t="s">
        <v>439</v>
      </c>
      <c r="U2" s="228" t="s">
        <v>408</v>
      </c>
      <c r="V2" t="s">
        <v>450</v>
      </c>
      <c r="W2" s="174" t="s">
        <v>33</v>
      </c>
    </row>
    <row r="3" spans="1:23" x14ac:dyDescent="0.25">
      <c r="A3" s="172" t="s">
        <v>88</v>
      </c>
      <c r="B3">
        <v>60</v>
      </c>
      <c r="C3" s="97">
        <v>1454750</v>
      </c>
      <c r="D3" s="172" t="s">
        <v>133</v>
      </c>
      <c r="E3">
        <v>1</v>
      </c>
      <c r="F3" s="97">
        <v>150000</v>
      </c>
      <c r="G3">
        <v>1.5</v>
      </c>
      <c r="H3" s="174" t="s">
        <v>34</v>
      </c>
      <c r="I3" s="166">
        <v>7.73</v>
      </c>
      <c r="J3" s="166" t="s">
        <v>35</v>
      </c>
      <c r="K3" s="166" t="s">
        <v>298</v>
      </c>
      <c r="L3" s="175" t="s">
        <v>258</v>
      </c>
      <c r="M3" s="121" t="s">
        <v>257</v>
      </c>
      <c r="N3" s="154">
        <v>0.66666666666666663</v>
      </c>
      <c r="O3" s="121" t="s">
        <v>259</v>
      </c>
      <c r="P3" s="121">
        <v>80</v>
      </c>
      <c r="Q3" s="121">
        <v>20000</v>
      </c>
      <c r="R3" s="154">
        <v>5.4794520547945202</v>
      </c>
      <c r="S3" s="174" t="s">
        <v>400</v>
      </c>
      <c r="T3" s="83" t="s">
        <v>447</v>
      </c>
      <c r="U3" s="228" t="s">
        <v>409</v>
      </c>
      <c r="V3" t="s">
        <v>460</v>
      </c>
      <c r="W3" s="174" t="s">
        <v>637</v>
      </c>
    </row>
    <row r="4" spans="1:23" x14ac:dyDescent="0.25">
      <c r="A4" s="172" t="s">
        <v>89</v>
      </c>
      <c r="B4">
        <v>70</v>
      </c>
      <c r="C4" s="97">
        <v>1653895</v>
      </c>
      <c r="E4">
        <v>2</v>
      </c>
      <c r="F4" s="97">
        <v>250000</v>
      </c>
      <c r="G4">
        <v>2</v>
      </c>
      <c r="H4" s="174" t="s">
        <v>239</v>
      </c>
      <c r="I4" s="166">
        <v>10.64</v>
      </c>
      <c r="J4" s="166" t="s">
        <v>285</v>
      </c>
      <c r="K4" s="166" t="s">
        <v>298</v>
      </c>
      <c r="L4" s="175" t="s">
        <v>261</v>
      </c>
      <c r="M4" s="121" t="s">
        <v>260</v>
      </c>
      <c r="N4" s="154">
        <v>1</v>
      </c>
      <c r="O4" s="121" t="s">
        <v>262</v>
      </c>
      <c r="P4" s="121">
        <v>120</v>
      </c>
      <c r="Q4" s="121">
        <v>50000</v>
      </c>
      <c r="R4" s="154">
        <v>13.698630136986301</v>
      </c>
      <c r="S4" s="174" t="s">
        <v>401</v>
      </c>
      <c r="T4" s="83" t="s">
        <v>440</v>
      </c>
      <c r="U4" s="228" t="s">
        <v>410</v>
      </c>
      <c r="V4" t="s">
        <v>451</v>
      </c>
      <c r="W4" s="174" t="s">
        <v>615</v>
      </c>
    </row>
    <row r="5" spans="1:23" x14ac:dyDescent="0.25">
      <c r="A5" s="172" t="s">
        <v>90</v>
      </c>
      <c r="B5">
        <v>80</v>
      </c>
      <c r="C5" s="97">
        <v>1693197</v>
      </c>
      <c r="E5">
        <v>5.5</v>
      </c>
      <c r="F5" s="97">
        <v>570000</v>
      </c>
      <c r="G5" s="113">
        <f>(E5-$E$4)*($G$7-$G$4)/($E$7-$E$4)+$G$4</f>
        <v>2.4083333333333332</v>
      </c>
      <c r="H5" s="174" t="s">
        <v>286</v>
      </c>
      <c r="I5" s="166">
        <v>11.32</v>
      </c>
      <c r="J5" s="166" t="s">
        <v>285</v>
      </c>
      <c r="K5" s="166" t="s">
        <v>298</v>
      </c>
      <c r="L5" s="175" t="s">
        <v>269</v>
      </c>
      <c r="M5" s="121" t="s">
        <v>266</v>
      </c>
      <c r="S5" s="174" t="s">
        <v>402</v>
      </c>
      <c r="T5" s="225" t="s">
        <v>441</v>
      </c>
      <c r="U5" s="228" t="s">
        <v>411</v>
      </c>
      <c r="V5" s="225" t="s">
        <v>452</v>
      </c>
    </row>
    <row r="6" spans="1:23" x14ac:dyDescent="0.25">
      <c r="A6" s="172" t="s">
        <v>91</v>
      </c>
      <c r="B6">
        <v>90</v>
      </c>
      <c r="C6" s="97">
        <v>1872396</v>
      </c>
      <c r="E6">
        <v>7</v>
      </c>
      <c r="F6" s="97">
        <v>740000</v>
      </c>
      <c r="G6" s="113">
        <f>(E6-$E$4)*($G$7-$G$4)/($E$7-$E$4)+$G$4</f>
        <v>2.5833333333333335</v>
      </c>
      <c r="H6" s="174" t="s">
        <v>287</v>
      </c>
      <c r="I6" s="166">
        <v>11.53</v>
      </c>
      <c r="J6" s="166" t="s">
        <v>285</v>
      </c>
      <c r="K6" s="166" t="s">
        <v>298</v>
      </c>
      <c r="L6" s="175" t="s">
        <v>270</v>
      </c>
      <c r="S6" s="174" t="s">
        <v>403</v>
      </c>
      <c r="T6" s="225" t="s">
        <v>442</v>
      </c>
      <c r="U6" s="228" t="s">
        <v>412</v>
      </c>
      <c r="V6" s="225" t="s">
        <v>453</v>
      </c>
    </row>
    <row r="7" spans="1:23" x14ac:dyDescent="0.25">
      <c r="A7" s="172" t="s">
        <v>92</v>
      </c>
      <c r="B7">
        <v>100</v>
      </c>
      <c r="C7" s="97">
        <v>2023425</v>
      </c>
      <c r="E7" s="35">
        <v>8</v>
      </c>
      <c r="F7" s="97">
        <v>1500000</v>
      </c>
      <c r="G7">
        <v>2.7</v>
      </c>
      <c r="H7" s="174" t="s">
        <v>36</v>
      </c>
      <c r="I7" s="166">
        <v>10.86</v>
      </c>
      <c r="J7" s="166" t="s">
        <v>288</v>
      </c>
      <c r="K7" s="166" t="s">
        <v>298</v>
      </c>
      <c r="L7" s="175" t="s">
        <v>271</v>
      </c>
      <c r="S7" s="174" t="s">
        <v>404</v>
      </c>
      <c r="T7" s="225" t="s">
        <v>443</v>
      </c>
      <c r="U7" s="227" t="s">
        <v>413</v>
      </c>
      <c r="V7" s="225" t="s">
        <v>454</v>
      </c>
    </row>
    <row r="8" spans="1:23" x14ac:dyDescent="0.25">
      <c r="A8" s="172" t="s">
        <v>94</v>
      </c>
      <c r="B8">
        <v>110</v>
      </c>
      <c r="C8" s="97">
        <v>1785772</v>
      </c>
      <c r="E8">
        <v>9.5</v>
      </c>
      <c r="F8" s="97">
        <v>3500000</v>
      </c>
      <c r="G8" s="113">
        <f>(E8-$E$7)*($G$11-$G$7)/($E$11-$E$7)+$G$7</f>
        <v>2.9863636363636363</v>
      </c>
      <c r="H8" s="174" t="s">
        <v>289</v>
      </c>
      <c r="I8" s="166">
        <v>10.45</v>
      </c>
      <c r="J8" s="166" t="s">
        <v>285</v>
      </c>
      <c r="K8" s="166" t="s">
        <v>298</v>
      </c>
      <c r="S8" s="174" t="s">
        <v>405</v>
      </c>
      <c r="T8" s="225" t="s">
        <v>444</v>
      </c>
      <c r="U8" s="227" t="s">
        <v>414</v>
      </c>
      <c r="V8" s="225" t="s">
        <v>449</v>
      </c>
    </row>
    <row r="9" spans="1:23" x14ac:dyDescent="0.25">
      <c r="A9" s="172" t="s">
        <v>95</v>
      </c>
      <c r="B9">
        <v>120</v>
      </c>
      <c r="C9" s="97">
        <v>2368465</v>
      </c>
      <c r="E9" s="35">
        <v>11</v>
      </c>
      <c r="F9" s="97">
        <v>4300000</v>
      </c>
      <c r="G9" s="113">
        <f>(E9-$E$7)*($G$11-$G$7)/($E$11-$E$7)+$G$7</f>
        <v>3.2727272727272729</v>
      </c>
      <c r="H9" s="174" t="s">
        <v>290</v>
      </c>
      <c r="I9" s="166">
        <v>4.07</v>
      </c>
      <c r="J9" s="166" t="s">
        <v>291</v>
      </c>
      <c r="K9" s="166" t="s">
        <v>298</v>
      </c>
      <c r="S9" s="174" t="s">
        <v>406</v>
      </c>
      <c r="T9" s="225" t="s">
        <v>445</v>
      </c>
      <c r="U9" s="227" t="s">
        <v>415</v>
      </c>
      <c r="V9" s="225" t="s">
        <v>461</v>
      </c>
    </row>
    <row r="10" spans="1:23" x14ac:dyDescent="0.25">
      <c r="A10" s="172" t="s">
        <v>96</v>
      </c>
      <c r="B10">
        <v>130</v>
      </c>
      <c r="C10" s="97">
        <v>3228090</v>
      </c>
      <c r="E10">
        <v>15</v>
      </c>
      <c r="F10" s="97">
        <v>5200000</v>
      </c>
      <c r="G10" s="113">
        <f>(E10-$E$7)*($G$11-$G$7)/($E$11-$E$7)+$G$7</f>
        <v>4.036363636363637</v>
      </c>
      <c r="H10" s="174" t="s">
        <v>292</v>
      </c>
      <c r="I10" s="166">
        <v>5</v>
      </c>
      <c r="J10" s="166" t="s">
        <v>291</v>
      </c>
      <c r="K10" s="166" t="s">
        <v>299</v>
      </c>
      <c r="S10" s="174" t="s">
        <v>407</v>
      </c>
      <c r="T10" s="225" t="s">
        <v>446</v>
      </c>
      <c r="U10" s="227" t="s">
        <v>416</v>
      </c>
      <c r="V10" s="225" t="s">
        <v>458</v>
      </c>
    </row>
    <row r="11" spans="1:23" x14ac:dyDescent="0.25">
      <c r="A11" s="172" t="s">
        <v>97</v>
      </c>
      <c r="B11">
        <v>150</v>
      </c>
      <c r="C11" s="97">
        <v>3664515</v>
      </c>
      <c r="E11">
        <v>30</v>
      </c>
      <c r="F11" s="97">
        <v>6700000</v>
      </c>
      <c r="G11">
        <v>6.9</v>
      </c>
      <c r="H11" s="174" t="s">
        <v>293</v>
      </c>
      <c r="I11" s="166" t="s">
        <v>294</v>
      </c>
      <c r="J11" s="166" t="s">
        <v>48</v>
      </c>
      <c r="K11" s="166" t="s">
        <v>295</v>
      </c>
      <c r="T11" s="166"/>
      <c r="U11" s="227" t="s">
        <v>417</v>
      </c>
      <c r="V11" s="225" t="s">
        <v>459</v>
      </c>
    </row>
    <row r="12" spans="1:23" x14ac:dyDescent="0.25">
      <c r="A12" s="172" t="s">
        <v>98</v>
      </c>
      <c r="B12">
        <v>180</v>
      </c>
      <c r="C12" s="97">
        <v>4233058</v>
      </c>
      <c r="E12">
        <v>48</v>
      </c>
      <c r="F12" s="97">
        <v>7600000</v>
      </c>
      <c r="G12" s="113">
        <f>(E12-$E$11)*($G$16-$G$11)/($E$16-$E$11)+$G$11</f>
        <v>10.523076923076925</v>
      </c>
      <c r="H12" s="174" t="s">
        <v>34</v>
      </c>
      <c r="I12" s="166">
        <v>1.92</v>
      </c>
      <c r="J12" s="166" t="s">
        <v>291</v>
      </c>
      <c r="T12" s="166"/>
      <c r="U12" s="227" t="s">
        <v>418</v>
      </c>
      <c r="V12" s="225" t="s">
        <v>455</v>
      </c>
    </row>
    <row r="13" spans="1:23" x14ac:dyDescent="0.25">
      <c r="A13" s="172" t="s">
        <v>99</v>
      </c>
      <c r="B13">
        <v>200</v>
      </c>
      <c r="C13" s="97">
        <v>4655200</v>
      </c>
      <c r="E13">
        <v>60</v>
      </c>
      <c r="F13" s="97">
        <v>8500000</v>
      </c>
      <c r="G13" s="113">
        <f>(E13-$E$11)*($G$16-$G$11)/($E$16-$E$11)+$G$11</f>
        <v>12.938461538461539</v>
      </c>
      <c r="H13" s="174" t="s">
        <v>36</v>
      </c>
      <c r="I13">
        <v>1.163E-3</v>
      </c>
      <c r="J13" t="s">
        <v>368</v>
      </c>
      <c r="T13" s="166"/>
      <c r="U13" s="227" t="s">
        <v>419</v>
      </c>
      <c r="V13" s="225" t="s">
        <v>456</v>
      </c>
    </row>
    <row r="14" spans="1:23" x14ac:dyDescent="0.25">
      <c r="B14">
        <v>250</v>
      </c>
      <c r="C14" s="97">
        <v>5422250</v>
      </c>
      <c r="E14">
        <v>72</v>
      </c>
      <c r="F14" s="97">
        <v>8800000</v>
      </c>
      <c r="G14" s="113">
        <f>(E14-$E$11)*($G$16-$G$11)/($E$16-$E$11)+$G$11</f>
        <v>15.353846153846156</v>
      </c>
      <c r="T14" s="166"/>
      <c r="U14" s="228" t="s">
        <v>420</v>
      </c>
      <c r="V14" t="s">
        <v>457</v>
      </c>
    </row>
    <row r="15" spans="1:23" x14ac:dyDescent="0.25">
      <c r="B15">
        <v>300</v>
      </c>
      <c r="C15" s="97">
        <v>6149625</v>
      </c>
      <c r="E15">
        <v>80</v>
      </c>
      <c r="F15" s="97">
        <v>9980000</v>
      </c>
      <c r="G15" s="113">
        <f>(E15-$E$11)*($G$16-$G$11)/($E$16-$E$11)+$G$11</f>
        <v>16.964102564102564</v>
      </c>
      <c r="T15" s="166"/>
      <c r="U15" s="228" t="s">
        <v>421</v>
      </c>
      <c r="V15" t="s">
        <v>462</v>
      </c>
    </row>
    <row r="16" spans="1:23" x14ac:dyDescent="0.25">
      <c r="B16">
        <v>350</v>
      </c>
      <c r="C16" s="97">
        <v>6877000</v>
      </c>
      <c r="E16">
        <v>108</v>
      </c>
      <c r="F16" s="97">
        <v>13000000</v>
      </c>
      <c r="G16">
        <v>22.6</v>
      </c>
      <c r="T16" s="166"/>
      <c r="U16" s="227" t="s">
        <v>422</v>
      </c>
      <c r="V16" t="s">
        <v>463</v>
      </c>
    </row>
    <row r="17" spans="5:21" x14ac:dyDescent="0.25">
      <c r="E17">
        <v>120</v>
      </c>
      <c r="F17" s="97">
        <v>14600000</v>
      </c>
      <c r="G17" s="113">
        <f>(E17-$E$16)*($G$19-$G$16)/($E$19-$E$16)+$G$16</f>
        <v>25.188976377952756</v>
      </c>
      <c r="T17" s="166"/>
      <c r="U17" s="227" t="s">
        <v>423</v>
      </c>
    </row>
    <row r="18" spans="5:21" x14ac:dyDescent="0.25">
      <c r="E18">
        <v>150</v>
      </c>
      <c r="F18" s="97">
        <v>15300000</v>
      </c>
      <c r="G18" s="113">
        <f>(E18-$E$16)*($G$19-$G$16)/($E$19-$E$16)+$G$16</f>
        <v>31.661417322834644</v>
      </c>
      <c r="T18" s="166"/>
      <c r="U18" s="227" t="s">
        <v>424</v>
      </c>
    </row>
    <row r="19" spans="5:21" x14ac:dyDescent="0.25">
      <c r="E19">
        <v>235</v>
      </c>
      <c r="F19" s="97">
        <v>16400000</v>
      </c>
      <c r="G19">
        <v>50</v>
      </c>
      <c r="T19" s="166"/>
      <c r="U19" s="228" t="s">
        <v>425</v>
      </c>
    </row>
    <row r="20" spans="5:21" x14ac:dyDescent="0.25">
      <c r="E20">
        <v>260</v>
      </c>
      <c r="F20" s="97">
        <f>(E20-$E$19)*($F$24-$F$19)/($E$24-$E$19)+$F$19</f>
        <v>18031578.947368421</v>
      </c>
      <c r="G20">
        <v>61.2</v>
      </c>
      <c r="T20" s="166"/>
      <c r="U20" s="228" t="s">
        <v>426</v>
      </c>
    </row>
    <row r="21" spans="5:21" x14ac:dyDescent="0.25">
      <c r="E21">
        <v>300</v>
      </c>
      <c r="F21" s="97">
        <f>(E21-$E$19)*($F$24-$F$19)/($E$24-$E$19)+$F$19</f>
        <v>20642105.263157897</v>
      </c>
      <c r="G21">
        <v>71.3</v>
      </c>
      <c r="T21" s="166"/>
      <c r="U21" s="228" t="s">
        <v>427</v>
      </c>
    </row>
    <row r="22" spans="5:21" x14ac:dyDescent="0.25">
      <c r="E22">
        <v>360</v>
      </c>
      <c r="F22" s="97">
        <f>(E22-$E$19)*($F$24-$F$19)/($E$24-$E$19)+$F$19</f>
        <v>24557894.736842103</v>
      </c>
      <c r="G22">
        <v>94.2</v>
      </c>
      <c r="T22" s="166"/>
      <c r="U22" s="227" t="s">
        <v>428</v>
      </c>
    </row>
    <row r="23" spans="5:21" x14ac:dyDescent="0.25">
      <c r="E23">
        <v>440</v>
      </c>
      <c r="F23" s="97">
        <f>(E23-$E$19)*($F$24-$F$19)/($E$24-$E$19)+$F$19</f>
        <v>29778947.368421055</v>
      </c>
      <c r="G23">
        <v>106.6</v>
      </c>
      <c r="T23" s="166"/>
      <c r="U23" s="227" t="s">
        <v>429</v>
      </c>
    </row>
    <row r="24" spans="5:21" x14ac:dyDescent="0.25">
      <c r="E24">
        <v>520</v>
      </c>
      <c r="F24" s="97">
        <v>35000000</v>
      </c>
      <c r="G24">
        <v>139.6</v>
      </c>
      <c r="T24" s="166"/>
      <c r="U24" s="228" t="s">
        <v>430</v>
      </c>
    </row>
    <row r="25" spans="5:21" x14ac:dyDescent="0.25">
      <c r="E25">
        <v>632</v>
      </c>
      <c r="F25" s="97">
        <f>(E25-$E$24)*($F$28-$F$24)/($E$28-$E$24)+$F$24</f>
        <v>55800000</v>
      </c>
      <c r="G25">
        <v>162.5</v>
      </c>
      <c r="T25" s="166"/>
      <c r="U25" s="228" t="s">
        <v>431</v>
      </c>
    </row>
    <row r="26" spans="5:21" x14ac:dyDescent="0.25">
      <c r="E26">
        <v>660</v>
      </c>
      <c r="F26" s="97">
        <f>(E26-$E$24)*($F$28-$F$24)/($E$28-$E$24)+$F$24</f>
        <v>61000000</v>
      </c>
      <c r="G26">
        <v>168.2</v>
      </c>
      <c r="T26" s="166"/>
      <c r="U26" s="228" t="s">
        <v>432</v>
      </c>
    </row>
    <row r="27" spans="5:21" x14ac:dyDescent="0.25">
      <c r="E27">
        <v>728</v>
      </c>
      <c r="F27" s="97">
        <f>(E27-$E$24)*($F$28-$F$24)/($E$28-$E$24)+$F$24</f>
        <v>73628571.428571433</v>
      </c>
      <c r="G27">
        <v>189</v>
      </c>
      <c r="T27" s="166"/>
      <c r="U27" s="228" t="s">
        <v>433</v>
      </c>
    </row>
    <row r="28" spans="5:21" x14ac:dyDescent="0.25">
      <c r="E28">
        <v>800</v>
      </c>
      <c r="F28" s="97">
        <v>87000000</v>
      </c>
      <c r="G28">
        <v>205.9</v>
      </c>
      <c r="T28" s="166"/>
      <c r="U28" s="228" t="s">
        <v>434</v>
      </c>
    </row>
    <row r="29" spans="5:21" x14ac:dyDescent="0.25">
      <c r="E29">
        <v>1000</v>
      </c>
      <c r="F29" s="97">
        <f>(E29-$E$24)*($F$28-$F$24)/($E$28-$E$24)+$F$24</f>
        <v>124142857.14285715</v>
      </c>
      <c r="G29">
        <v>244.9</v>
      </c>
      <c r="T29" s="166"/>
      <c r="U29" s="228" t="s">
        <v>435</v>
      </c>
    </row>
    <row r="30" spans="5:21" x14ac:dyDescent="0.25">
      <c r="E30">
        <v>1200</v>
      </c>
      <c r="F30" s="97">
        <f>(E30-$E$24)*($F$28-$F$24)/($E$28-$E$24)+$F$24</f>
        <v>161285714.28571427</v>
      </c>
      <c r="G30">
        <v>306.89999999999998</v>
      </c>
      <c r="T30" s="166"/>
      <c r="U30" s="227" t="s">
        <v>436</v>
      </c>
    </row>
    <row r="31" spans="5:21" x14ac:dyDescent="0.25">
      <c r="E31">
        <v>1500</v>
      </c>
      <c r="F31" s="97">
        <f>(E31-$E$24)*($F$28-$F$24)/($E$28-$E$24)+$F$24</f>
        <v>217000000</v>
      </c>
      <c r="G31">
        <v>360.5</v>
      </c>
      <c r="T31" s="166"/>
      <c r="U31" s="227" t="s">
        <v>437</v>
      </c>
    </row>
    <row r="32" spans="5:21" x14ac:dyDescent="0.25">
      <c r="E32">
        <v>1640</v>
      </c>
      <c r="F32" s="97">
        <f>(E32-$E$24)*($F$28-$F$24)/($E$28-$E$24)+$F$24</f>
        <v>243000000</v>
      </c>
      <c r="G32">
        <v>396.5</v>
      </c>
      <c r="T32" s="166"/>
      <c r="U32" s="227" t="s">
        <v>438</v>
      </c>
    </row>
    <row r="33" spans="21:21" x14ac:dyDescent="0.25">
      <c r="U33" s="228" t="s">
        <v>407</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7"/>
  <sheetViews>
    <sheetView workbookViewId="0">
      <selection activeCell="A4" sqref="A4"/>
    </sheetView>
  </sheetViews>
  <sheetFormatPr baseColWidth="10" defaultRowHeight="15" x14ac:dyDescent="0.25"/>
  <sheetData>
    <row r="1" spans="1:1" s="35" customFormat="1" x14ac:dyDescent="0.25">
      <c r="A1" s="35" t="s">
        <v>86</v>
      </c>
    </row>
    <row r="2" spans="1:1" x14ac:dyDescent="0.25">
      <c r="A2" t="s">
        <v>130</v>
      </c>
    </row>
    <row r="3" spans="1:1" x14ac:dyDescent="0.25">
      <c r="A3" t="s">
        <v>172</v>
      </c>
    </row>
    <row r="4" spans="1:1" x14ac:dyDescent="0.25">
      <c r="A4" t="s">
        <v>221</v>
      </c>
    </row>
    <row r="5" spans="1:1" x14ac:dyDescent="0.25">
      <c r="A5" t="s">
        <v>222</v>
      </c>
    </row>
    <row r="6" spans="1:1" x14ac:dyDescent="0.25">
      <c r="A6" t="s">
        <v>223</v>
      </c>
    </row>
    <row r="7" spans="1:1" x14ac:dyDescent="0.25">
      <c r="A7" t="s">
        <v>393</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B15" sqref="B15"/>
    </sheetView>
  </sheetViews>
  <sheetFormatPr baseColWidth="10" defaultRowHeight="15" x14ac:dyDescent="0.25"/>
  <cols>
    <col min="1" max="1" width="41.42578125" customWidth="1"/>
  </cols>
  <sheetData>
    <row r="1" spans="1:1" x14ac:dyDescent="0.25">
      <c r="A1" t="s">
        <v>466</v>
      </c>
    </row>
    <row r="2" spans="1:1" x14ac:dyDescent="0.25">
      <c r="A2" t="s">
        <v>189</v>
      </c>
    </row>
    <row r="3" spans="1:1" x14ac:dyDescent="0.25">
      <c r="A3" t="s">
        <v>488</v>
      </c>
    </row>
    <row r="4" spans="1:1" x14ac:dyDescent="0.25">
      <c r="A4" t="s">
        <v>509</v>
      </c>
    </row>
    <row r="5" spans="1:1" x14ac:dyDescent="0.25">
      <c r="A5" t="s">
        <v>516</v>
      </c>
    </row>
    <row r="6" spans="1:1" x14ac:dyDescent="0.25">
      <c r="A6" t="s">
        <v>631</v>
      </c>
    </row>
    <row r="7" spans="1:1" x14ac:dyDescent="0.25">
      <c r="A7" t="s">
        <v>534</v>
      </c>
    </row>
    <row r="8" spans="1:1" x14ac:dyDescent="0.25">
      <c r="A8" t="s">
        <v>547</v>
      </c>
    </row>
    <row r="9" spans="1:1" x14ac:dyDescent="0.25">
      <c r="A9" t="s">
        <v>563</v>
      </c>
    </row>
    <row r="10" spans="1:1" x14ac:dyDescent="0.25">
      <c r="A10" t="s">
        <v>575</v>
      </c>
    </row>
    <row r="11" spans="1:1" x14ac:dyDescent="0.25">
      <c r="A11" t="s">
        <v>594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sheetPr>
  <dimension ref="A1:S61"/>
  <sheetViews>
    <sheetView showGridLines="0" topLeftCell="A34" workbookViewId="0">
      <selection activeCell="U53" sqref="U53"/>
    </sheetView>
  </sheetViews>
  <sheetFormatPr baseColWidth="10" defaultRowHeight="12" x14ac:dyDescent="0.25"/>
  <cols>
    <col min="1" max="1" width="1.42578125" style="32" customWidth="1"/>
    <col min="2" max="2" width="16.85546875" style="32" customWidth="1"/>
    <col min="3" max="3" width="13.140625" style="32" customWidth="1"/>
    <col min="4" max="4" width="0.85546875" style="32" customWidth="1"/>
    <col min="5" max="5" width="5.7109375" style="32" customWidth="1"/>
    <col min="6" max="6" width="13.28515625" style="32" customWidth="1"/>
    <col min="7" max="7" width="0.85546875" style="32" customWidth="1"/>
    <col min="8" max="8" width="19.140625" style="32" customWidth="1"/>
    <col min="9" max="9" width="0.85546875" style="32" customWidth="1"/>
    <col min="10" max="10" width="15.5703125" style="32" customWidth="1"/>
    <col min="11" max="11" width="10.7109375" style="32" customWidth="1"/>
    <col min="12" max="12" width="0.85546875" style="32" customWidth="1"/>
    <col min="13" max="13" width="18.7109375" style="32" customWidth="1"/>
    <col min="14" max="14" width="0.85546875" style="32" customWidth="1"/>
    <col min="15" max="15" width="13.42578125" style="32" customWidth="1"/>
    <col min="16" max="16" width="15.140625" style="32" customWidth="1"/>
    <col min="17" max="17" width="0.85546875" style="32" customWidth="1"/>
    <col min="18" max="18" width="1.28515625" style="32" customWidth="1"/>
    <col min="19" max="22" width="11.42578125" style="32"/>
    <col min="23" max="23" width="15.28515625" style="32" customWidth="1"/>
    <col min="24" max="16384" width="11.42578125" style="32"/>
  </cols>
  <sheetData>
    <row r="1" spans="1:18" ht="9.9499999999999993" customHeight="1" thickTop="1" x14ac:dyDescent="0.25">
      <c r="A1" s="24"/>
      <c r="B1" s="27"/>
      <c r="C1" s="27"/>
      <c r="D1" s="27"/>
      <c r="E1" s="27"/>
      <c r="F1" s="27"/>
      <c r="G1" s="27"/>
      <c r="H1" s="27"/>
      <c r="I1" s="27"/>
      <c r="J1" s="27"/>
      <c r="K1" s="27"/>
      <c r="L1" s="27"/>
      <c r="M1" s="27"/>
      <c r="N1" s="27"/>
      <c r="O1" s="27"/>
      <c r="P1" s="27"/>
      <c r="Q1" s="27"/>
      <c r="R1" s="29"/>
    </row>
    <row r="2" spans="1:18" ht="15" customHeight="1" x14ac:dyDescent="0.25">
      <c r="A2" s="30"/>
      <c r="B2" s="22"/>
      <c r="C2" s="22"/>
      <c r="D2" s="22"/>
      <c r="E2" s="22"/>
      <c r="F2" s="22"/>
      <c r="G2" s="22"/>
      <c r="H2" s="22"/>
      <c r="I2" s="22"/>
      <c r="J2" s="22"/>
      <c r="K2" s="22"/>
      <c r="L2" s="22"/>
      <c r="M2" s="351" t="s">
        <v>42</v>
      </c>
      <c r="N2" s="351"/>
      <c r="O2" s="347">
        <f ca="1">TODAY()</f>
        <v>43340</v>
      </c>
      <c r="P2" s="347"/>
      <c r="Q2" s="347"/>
      <c r="R2" s="31"/>
    </row>
    <row r="3" spans="1:18" ht="9.9499999999999993" customHeight="1" thickBot="1" x14ac:dyDescent="0.3">
      <c r="A3" s="30"/>
      <c r="B3" s="22"/>
      <c r="C3" s="22"/>
      <c r="D3" s="22"/>
      <c r="E3" s="22"/>
      <c r="F3" s="22"/>
      <c r="G3" s="22"/>
      <c r="H3" s="22"/>
      <c r="I3" s="22"/>
      <c r="J3" s="22"/>
      <c r="K3" s="22"/>
      <c r="L3" s="22"/>
      <c r="M3" s="22"/>
      <c r="N3" s="22"/>
      <c r="O3" s="22"/>
      <c r="P3" s="220"/>
      <c r="Q3" s="220"/>
      <c r="R3" s="31"/>
    </row>
    <row r="4" spans="1:18" ht="22.5" customHeight="1" thickBot="1" x14ac:dyDescent="0.3">
      <c r="A4" s="30"/>
      <c r="B4" s="348" t="s">
        <v>394</v>
      </c>
      <c r="C4" s="349"/>
      <c r="D4" s="349"/>
      <c r="E4" s="349"/>
      <c r="F4" s="349"/>
      <c r="G4" s="349"/>
      <c r="H4" s="349"/>
      <c r="I4" s="349"/>
      <c r="J4" s="349"/>
      <c r="K4" s="349"/>
      <c r="L4" s="349"/>
      <c r="M4" s="349"/>
      <c r="N4" s="349"/>
      <c r="O4" s="349"/>
      <c r="P4" s="349"/>
      <c r="Q4" s="350"/>
      <c r="R4" s="31"/>
    </row>
    <row r="5" spans="1:18" ht="6.75" customHeight="1" thickBot="1" x14ac:dyDescent="0.3">
      <c r="A5" s="30"/>
      <c r="B5" s="22"/>
      <c r="C5" s="22"/>
      <c r="D5" s="22"/>
      <c r="E5" s="22"/>
      <c r="F5" s="22"/>
      <c r="G5" s="22"/>
      <c r="H5" s="22"/>
      <c r="I5" s="22"/>
      <c r="J5" s="22"/>
      <c r="K5" s="22"/>
      <c r="L5" s="22"/>
      <c r="M5" s="22"/>
      <c r="N5" s="22"/>
      <c r="O5" s="22"/>
      <c r="P5" s="22"/>
      <c r="Q5" s="22"/>
      <c r="R5" s="31"/>
    </row>
    <row r="6" spans="1:18" ht="26.25" customHeight="1" thickBot="1" x14ac:dyDescent="0.3">
      <c r="A6" s="30"/>
      <c r="B6" s="348" t="s">
        <v>56</v>
      </c>
      <c r="C6" s="349"/>
      <c r="D6" s="349"/>
      <c r="E6" s="349"/>
      <c r="F6" s="349"/>
      <c r="G6" s="349"/>
      <c r="H6" s="349"/>
      <c r="I6" s="349"/>
      <c r="J6" s="349"/>
      <c r="K6" s="349"/>
      <c r="L6" s="349"/>
      <c r="M6" s="349"/>
      <c r="N6" s="349"/>
      <c r="O6" s="349"/>
      <c r="P6" s="349"/>
      <c r="Q6" s="350"/>
      <c r="R6" s="31"/>
    </row>
    <row r="7" spans="1:18" ht="8.25" customHeight="1" thickBot="1" x14ac:dyDescent="0.3">
      <c r="A7" s="30"/>
      <c r="B7" s="22"/>
      <c r="C7" s="22"/>
      <c r="D7" s="22"/>
      <c r="E7" s="22"/>
      <c r="F7" s="22"/>
      <c r="G7" s="22"/>
      <c r="H7" s="22"/>
      <c r="I7" s="22"/>
      <c r="J7" s="22"/>
      <c r="K7" s="22"/>
      <c r="L7" s="22"/>
      <c r="M7" s="22"/>
      <c r="N7" s="22"/>
      <c r="O7" s="22"/>
      <c r="P7" s="22"/>
      <c r="Q7" s="22"/>
      <c r="R7" s="31"/>
    </row>
    <row r="8" spans="1:18" ht="21" customHeight="1" thickBot="1" x14ac:dyDescent="0.3">
      <c r="A8" s="30"/>
      <c r="B8" s="358" t="s">
        <v>243</v>
      </c>
      <c r="C8" s="359"/>
      <c r="D8" s="22"/>
      <c r="E8" s="360"/>
      <c r="F8" s="361"/>
      <c r="G8" s="361"/>
      <c r="H8" s="362"/>
      <c r="I8" s="47"/>
      <c r="J8" s="358" t="s">
        <v>244</v>
      </c>
      <c r="K8" s="359"/>
      <c r="M8" s="363"/>
      <c r="N8" s="364"/>
      <c r="O8" s="364"/>
      <c r="P8" s="364"/>
      <c r="Q8" s="365"/>
      <c r="R8" s="31"/>
    </row>
    <row r="9" spans="1:18" ht="7.5" customHeight="1" thickBot="1" x14ac:dyDescent="0.3">
      <c r="A9" s="30"/>
      <c r="B9" s="22"/>
      <c r="C9" s="22"/>
      <c r="D9" s="22"/>
      <c r="E9" s="22"/>
      <c r="F9" s="22"/>
      <c r="G9" s="22"/>
      <c r="H9" s="22"/>
      <c r="I9" s="22"/>
      <c r="J9" s="22"/>
      <c r="K9" s="22"/>
      <c r="L9" s="22"/>
      <c r="M9" s="22"/>
      <c r="N9" s="22"/>
      <c r="O9" s="22"/>
      <c r="P9" s="22"/>
      <c r="Q9" s="22"/>
      <c r="R9" s="31"/>
    </row>
    <row r="10" spans="1:18" ht="26.25" customHeight="1" thickBot="1" x14ac:dyDescent="0.3">
      <c r="A10" s="30"/>
      <c r="B10" s="358" t="s">
        <v>53</v>
      </c>
      <c r="C10" s="359"/>
      <c r="D10" s="22"/>
      <c r="E10" s="372"/>
      <c r="F10" s="373"/>
      <c r="G10" s="373"/>
      <c r="H10" s="374"/>
      <c r="I10" s="231"/>
      <c r="J10" s="358" t="s">
        <v>54</v>
      </c>
      <c r="K10" s="359"/>
      <c r="L10" s="231"/>
      <c r="M10" s="219"/>
      <c r="N10" s="232"/>
      <c r="O10" s="229" t="s">
        <v>55</v>
      </c>
      <c r="P10" s="363" t="s">
        <v>448</v>
      </c>
      <c r="Q10" s="365"/>
      <c r="R10" s="31"/>
    </row>
    <row r="11" spans="1:18" ht="6.75" customHeight="1" thickBot="1" x14ac:dyDescent="0.3">
      <c r="A11" s="30"/>
      <c r="B11" s="22"/>
      <c r="C11" s="22"/>
      <c r="D11" s="22"/>
      <c r="E11" s="22"/>
      <c r="F11" s="22"/>
      <c r="G11" s="22"/>
      <c r="H11" s="22"/>
      <c r="I11" s="22"/>
      <c r="J11" s="22"/>
      <c r="K11" s="22"/>
      <c r="L11" s="22"/>
      <c r="M11" s="22"/>
      <c r="N11" s="22"/>
      <c r="O11" s="22"/>
      <c r="P11" s="22"/>
      <c r="Q11" s="22"/>
      <c r="R11" s="31"/>
    </row>
    <row r="12" spans="1:18" ht="22.5" customHeight="1" thickBot="1" x14ac:dyDescent="0.3">
      <c r="A12" s="30"/>
      <c r="B12" s="358" t="s">
        <v>57</v>
      </c>
      <c r="C12" s="359"/>
      <c r="D12" s="22"/>
      <c r="E12" s="360"/>
      <c r="F12" s="361"/>
      <c r="G12" s="361"/>
      <c r="H12" s="361"/>
      <c r="I12" s="361"/>
      <c r="J12" s="361"/>
      <c r="K12" s="361"/>
      <c r="L12" s="361"/>
      <c r="M12" s="361"/>
      <c r="N12" s="361"/>
      <c r="O12" s="361"/>
      <c r="P12" s="361"/>
      <c r="Q12" s="362"/>
      <c r="R12" s="31"/>
    </row>
    <row r="13" spans="1:18" ht="8.25" customHeight="1" thickBot="1" x14ac:dyDescent="0.3">
      <c r="A13" s="30"/>
      <c r="B13" s="22"/>
      <c r="C13" s="22"/>
      <c r="D13" s="22"/>
      <c r="E13" s="22"/>
      <c r="F13" s="22"/>
      <c r="G13" s="22"/>
      <c r="H13" s="22"/>
      <c r="I13" s="22"/>
      <c r="J13" s="22"/>
      <c r="K13" s="22"/>
      <c r="L13" s="22"/>
      <c r="M13" s="22"/>
      <c r="N13" s="22"/>
      <c r="O13" s="22"/>
      <c r="P13" s="22"/>
      <c r="Q13" s="22"/>
      <c r="R13" s="31"/>
    </row>
    <row r="14" spans="1:18" ht="21" customHeight="1" thickBot="1" x14ac:dyDescent="0.3">
      <c r="A14" s="30"/>
      <c r="B14" s="358" t="s">
        <v>395</v>
      </c>
      <c r="C14" s="359"/>
      <c r="D14" s="22"/>
      <c r="E14" s="360" t="s">
        <v>397</v>
      </c>
      <c r="F14" s="361"/>
      <c r="G14" s="361"/>
      <c r="H14" s="362"/>
      <c r="I14" s="47"/>
      <c r="J14" s="358" t="s">
        <v>396</v>
      </c>
      <c r="K14" s="359"/>
      <c r="M14" s="369" t="s">
        <v>398</v>
      </c>
      <c r="N14" s="370"/>
      <c r="O14" s="370"/>
      <c r="P14" s="370"/>
      <c r="Q14" s="371"/>
      <c r="R14" s="31"/>
    </row>
    <row r="15" spans="1:18" ht="9.9499999999999993" customHeight="1" thickBot="1" x14ac:dyDescent="0.3">
      <c r="A15" s="30"/>
      <c r="B15" s="22"/>
      <c r="C15" s="22"/>
      <c r="D15" s="22"/>
      <c r="E15" s="22"/>
      <c r="F15" s="22"/>
      <c r="G15" s="22"/>
      <c r="H15" s="22"/>
      <c r="I15" s="22"/>
      <c r="J15" s="22"/>
      <c r="K15" s="22"/>
      <c r="L15" s="22"/>
      <c r="M15" s="22"/>
      <c r="N15" s="22"/>
      <c r="O15" s="22"/>
      <c r="P15" s="22"/>
      <c r="Q15" s="22"/>
      <c r="R15" s="31"/>
    </row>
    <row r="16" spans="1:18" ht="27.75" customHeight="1" thickBot="1" x14ac:dyDescent="0.3">
      <c r="A16" s="30"/>
      <c r="B16" s="348" t="s">
        <v>43</v>
      </c>
      <c r="C16" s="349"/>
      <c r="D16" s="349"/>
      <c r="E16" s="349"/>
      <c r="F16" s="349"/>
      <c r="G16" s="349"/>
      <c r="H16" s="349"/>
      <c r="I16" s="349"/>
      <c r="J16" s="349"/>
      <c r="K16" s="349"/>
      <c r="L16" s="349"/>
      <c r="M16" s="349"/>
      <c r="N16" s="349"/>
      <c r="O16" s="349"/>
      <c r="P16" s="349"/>
      <c r="Q16" s="350"/>
      <c r="R16" s="31"/>
    </row>
    <row r="17" spans="1:18" ht="9.9499999999999993" customHeight="1" thickBot="1" x14ac:dyDescent="0.3">
      <c r="A17" s="30"/>
      <c r="B17" s="26"/>
      <c r="C17" s="26"/>
      <c r="D17" s="26"/>
      <c r="E17" s="26"/>
      <c r="F17" s="26"/>
      <c r="G17" s="26"/>
      <c r="H17" s="26"/>
      <c r="I17" s="26"/>
      <c r="J17" s="26"/>
      <c r="K17" s="26"/>
      <c r="L17" s="22"/>
      <c r="M17" s="26"/>
      <c r="N17" s="26"/>
      <c r="O17" s="26"/>
      <c r="P17" s="26"/>
      <c r="Q17" s="26"/>
      <c r="R17" s="31"/>
    </row>
    <row r="18" spans="1:18" ht="18" customHeight="1" thickBot="1" x14ac:dyDescent="0.3">
      <c r="A18" s="30"/>
      <c r="B18" s="352" t="s">
        <v>44</v>
      </c>
      <c r="C18" s="353"/>
      <c r="D18" s="25"/>
      <c r="E18" s="348" t="s">
        <v>58</v>
      </c>
      <c r="F18" s="349"/>
      <c r="G18" s="349"/>
      <c r="H18" s="349"/>
      <c r="I18" s="349"/>
      <c r="J18" s="349"/>
      <c r="K18" s="349"/>
      <c r="L18" s="349"/>
      <c r="M18" s="350"/>
      <c r="N18" s="25"/>
      <c r="O18" s="39"/>
      <c r="P18" s="26"/>
      <c r="Q18" s="26"/>
      <c r="R18" s="31"/>
    </row>
    <row r="19" spans="1:18" ht="9.9499999999999993" customHeight="1" thickBot="1" x14ac:dyDescent="0.3">
      <c r="A19" s="30"/>
      <c r="B19" s="354"/>
      <c r="C19" s="355"/>
      <c r="D19" s="26"/>
      <c r="E19" s="26"/>
      <c r="F19" s="26"/>
      <c r="G19" s="26"/>
      <c r="H19" s="26"/>
      <c r="I19" s="26"/>
      <c r="J19" s="25"/>
      <c r="K19" s="25"/>
      <c r="L19" s="39"/>
      <c r="M19" s="25"/>
      <c r="N19" s="25"/>
      <c r="O19" s="39"/>
      <c r="P19" s="25"/>
      <c r="Q19" s="26"/>
      <c r="R19" s="31"/>
    </row>
    <row r="20" spans="1:18" ht="33.75" customHeight="1" thickBot="1" x14ac:dyDescent="0.3">
      <c r="A20" s="30"/>
      <c r="B20" s="354"/>
      <c r="C20" s="355"/>
      <c r="D20" s="25"/>
      <c r="E20" s="348" t="s">
        <v>50</v>
      </c>
      <c r="F20" s="349"/>
      <c r="G20" s="349"/>
      <c r="H20" s="350"/>
      <c r="I20" s="20"/>
      <c r="J20" s="348" t="s">
        <v>59</v>
      </c>
      <c r="K20" s="349"/>
      <c r="L20" s="349"/>
      <c r="M20" s="350"/>
      <c r="N20" s="25"/>
      <c r="O20" s="39"/>
      <c r="P20" s="26"/>
      <c r="Q20" s="26"/>
      <c r="R20" s="31"/>
    </row>
    <row r="21" spans="1:18" ht="20.25" customHeight="1" thickBot="1" x14ac:dyDescent="0.3">
      <c r="A21" s="30"/>
      <c r="B21" s="356"/>
      <c r="C21" s="357"/>
      <c r="D21" s="25"/>
      <c r="E21" s="366">
        <f>Electricidad!C36+'Gas Natural  '!F24+'Gas Licuado '!D21+'Diesel '!D21</f>
        <v>3061887.9878175999</v>
      </c>
      <c r="F21" s="367"/>
      <c r="G21" s="367"/>
      <c r="H21" s="368"/>
      <c r="I21" s="39"/>
      <c r="J21" s="366">
        <f>Electricidad!$L$52+'Gas Natural  '!M24+'Gas Licuado '!E21+'Diesel '!E21</f>
        <v>286472662.20000005</v>
      </c>
      <c r="K21" s="367"/>
      <c r="L21" s="367"/>
      <c r="M21" s="368"/>
      <c r="N21" s="25"/>
      <c r="O21" s="39"/>
      <c r="P21" s="25"/>
      <c r="Q21" s="39"/>
      <c r="R21" s="31"/>
    </row>
    <row r="22" spans="1:18" ht="15" customHeight="1" thickBot="1" x14ac:dyDescent="0.3">
      <c r="A22" s="30"/>
      <c r="B22" s="22"/>
      <c r="C22" s="22"/>
      <c r="D22" s="22"/>
      <c r="E22" s="22"/>
      <c r="F22" s="22"/>
      <c r="G22" s="26"/>
      <c r="H22" s="22"/>
      <c r="I22" s="22"/>
      <c r="J22" s="22"/>
      <c r="K22" s="22"/>
      <c r="L22" s="22"/>
      <c r="M22" s="22"/>
      <c r="N22" s="22"/>
      <c r="O22" s="22"/>
      <c r="P22" s="22"/>
      <c r="Q22" s="22"/>
      <c r="R22" s="31"/>
    </row>
    <row r="23" spans="1:18" ht="28.5" customHeight="1" thickBot="1" x14ac:dyDescent="0.3">
      <c r="A23" s="30"/>
      <c r="B23" s="348" t="s">
        <v>51</v>
      </c>
      <c r="C23" s="349"/>
      <c r="D23" s="349"/>
      <c r="E23" s="349"/>
      <c r="F23" s="349"/>
      <c r="G23" s="349"/>
      <c r="H23" s="349"/>
      <c r="I23" s="349"/>
      <c r="J23" s="349"/>
      <c r="K23" s="349"/>
      <c r="L23" s="349"/>
      <c r="M23" s="349"/>
      <c r="N23" s="349"/>
      <c r="O23" s="349"/>
      <c r="P23" s="349"/>
      <c r="Q23" s="350"/>
      <c r="R23" s="31"/>
    </row>
    <row r="24" spans="1:18" ht="9.9499999999999993" customHeight="1" thickBot="1" x14ac:dyDescent="0.3">
      <c r="A24" s="30"/>
      <c r="B24" s="26"/>
      <c r="C24" s="26"/>
      <c r="D24" s="26"/>
      <c r="E24" s="26"/>
      <c r="F24" s="26"/>
      <c r="G24" s="26"/>
      <c r="H24" s="26"/>
      <c r="I24" s="26"/>
      <c r="J24" s="26"/>
      <c r="K24" s="26"/>
      <c r="L24" s="22"/>
      <c r="M24" s="26"/>
      <c r="N24" s="26"/>
      <c r="O24" s="26"/>
      <c r="Q24" s="26"/>
      <c r="R24" s="31"/>
    </row>
    <row r="25" spans="1:18" ht="15.75" customHeight="1" thickBot="1" x14ac:dyDescent="0.3">
      <c r="A25" s="30"/>
      <c r="B25" s="25"/>
      <c r="C25" s="25"/>
      <c r="D25" s="25"/>
      <c r="E25" s="348" t="s">
        <v>52</v>
      </c>
      <c r="F25" s="349"/>
      <c r="G25" s="349"/>
      <c r="H25" s="350"/>
      <c r="I25" s="23"/>
      <c r="J25" s="22"/>
      <c r="K25" s="22"/>
      <c r="L25" s="22"/>
      <c r="M25" s="22"/>
      <c r="N25" s="22"/>
      <c r="O25" s="22"/>
      <c r="P25" s="22"/>
      <c r="Q25" s="26"/>
      <c r="R25" s="31"/>
    </row>
    <row r="26" spans="1:18" ht="9.9499999999999993" customHeight="1" thickBot="1" x14ac:dyDescent="0.3">
      <c r="A26" s="30"/>
      <c r="B26" s="26"/>
      <c r="C26" s="26"/>
      <c r="D26" s="26"/>
      <c r="E26" s="26"/>
      <c r="F26" s="26"/>
      <c r="G26" s="26"/>
      <c r="H26" s="26"/>
      <c r="I26" s="26"/>
      <c r="J26" s="22"/>
      <c r="K26" s="22"/>
      <c r="L26" s="22"/>
      <c r="M26" s="22"/>
      <c r="N26" s="22"/>
      <c r="O26" s="22"/>
      <c r="P26" s="22"/>
      <c r="Q26" s="26"/>
      <c r="R26" s="31"/>
    </row>
    <row r="27" spans="1:18" ht="33" customHeight="1" thickBot="1" x14ac:dyDescent="0.3">
      <c r="A27" s="30"/>
      <c r="B27" s="348" t="s">
        <v>46</v>
      </c>
      <c r="C27" s="350"/>
      <c r="D27" s="25"/>
      <c r="E27" s="348" t="s">
        <v>49</v>
      </c>
      <c r="F27" s="350"/>
      <c r="G27" s="26"/>
      <c r="H27" s="51" t="s">
        <v>60</v>
      </c>
      <c r="I27" s="20"/>
      <c r="J27" s="22"/>
      <c r="K27" s="22"/>
      <c r="L27" s="22"/>
      <c r="M27" s="22"/>
      <c r="N27" s="22"/>
      <c r="O27" s="22"/>
      <c r="P27" s="22"/>
      <c r="Q27" s="26"/>
      <c r="R27" s="31"/>
    </row>
    <row r="28" spans="1:18" ht="18.75" customHeight="1" thickBot="1" x14ac:dyDescent="0.3">
      <c r="A28" s="30"/>
      <c r="B28" s="221" t="s">
        <v>33</v>
      </c>
      <c r="C28" s="51" t="s">
        <v>41</v>
      </c>
      <c r="D28" s="25"/>
      <c r="E28" s="43"/>
      <c r="F28" s="40">
        <f>'Gráficos consumos'!B5</f>
        <v>2543815</v>
      </c>
      <c r="G28" s="26"/>
      <c r="H28" s="123">
        <f>'Gráficos consumos'!C5</f>
        <v>248255967.40000001</v>
      </c>
      <c r="I28" s="20"/>
      <c r="J28" s="22"/>
      <c r="K28" s="22"/>
      <c r="L28" s="22"/>
      <c r="M28" s="22"/>
      <c r="N28" s="22"/>
      <c r="O28" s="22"/>
      <c r="P28" s="22"/>
      <c r="Q28" s="26"/>
      <c r="R28" s="31"/>
    </row>
    <row r="29" spans="1:18" ht="15" customHeight="1" thickBot="1" x14ac:dyDescent="0.3">
      <c r="A29" s="30"/>
      <c r="B29" s="222" t="s">
        <v>34</v>
      </c>
      <c r="C29" s="51" t="s">
        <v>63</v>
      </c>
      <c r="D29" s="25"/>
      <c r="E29" s="53"/>
      <c r="F29" s="42">
        <f>'Gráficos consumos'!B6</f>
        <v>48541.627436379829</v>
      </c>
      <c r="G29" s="37"/>
      <c r="H29" s="124">
        <f>'Gráficos consumos'!C6</f>
        <v>5947194.7999999989</v>
      </c>
      <c r="I29" s="39"/>
      <c r="J29" s="22"/>
      <c r="K29" s="22"/>
      <c r="L29" s="22"/>
      <c r="M29" s="22"/>
      <c r="N29" s="22"/>
      <c r="O29" s="22"/>
      <c r="P29" s="22"/>
      <c r="Q29" s="39"/>
      <c r="R29" s="31"/>
    </row>
    <row r="30" spans="1:18" ht="15" customHeight="1" thickBot="1" x14ac:dyDescent="0.3">
      <c r="A30" s="30"/>
      <c r="B30" s="222" t="s">
        <v>36</v>
      </c>
      <c r="C30" s="51" t="s">
        <v>63</v>
      </c>
      <c r="D30" s="25"/>
      <c r="E30" s="44"/>
      <c r="F30" s="41">
        <f>'Gráficos consumos'!B7</f>
        <v>34785</v>
      </c>
      <c r="G30" s="37"/>
      <c r="H30" s="124">
        <f>'Gráficos consumos'!C7</f>
        <v>3019500</v>
      </c>
      <c r="I30" s="39"/>
      <c r="J30" s="22"/>
      <c r="K30" s="22"/>
      <c r="L30" s="22"/>
      <c r="M30" s="22"/>
      <c r="N30" s="22"/>
      <c r="O30" s="22"/>
      <c r="P30" s="22"/>
      <c r="Q30" s="39"/>
      <c r="R30" s="31"/>
    </row>
    <row r="31" spans="1:18" ht="15" customHeight="1" thickBot="1" x14ac:dyDescent="0.3">
      <c r="A31" s="30"/>
      <c r="B31" s="222" t="s">
        <v>40</v>
      </c>
      <c r="C31" s="51" t="s">
        <v>63</v>
      </c>
      <c r="D31" s="25"/>
      <c r="E31" s="44"/>
      <c r="F31" s="41">
        <f>'Gráficos consumos'!B8</f>
        <v>478800</v>
      </c>
      <c r="G31" s="37"/>
      <c r="H31" s="124">
        <f>'Gráficos consumos'!C8</f>
        <v>29250000</v>
      </c>
      <c r="I31" s="39"/>
      <c r="J31" s="22"/>
      <c r="K31" s="22"/>
      <c r="L31" s="22"/>
      <c r="M31" s="22"/>
      <c r="N31" s="22"/>
      <c r="O31" s="22"/>
      <c r="P31" s="22"/>
      <c r="Q31" s="39"/>
      <c r="R31" s="31"/>
    </row>
    <row r="32" spans="1:18" ht="15" customHeight="1" thickBot="1" x14ac:dyDescent="0.3">
      <c r="A32" s="30"/>
      <c r="B32" s="223" t="s">
        <v>47</v>
      </c>
      <c r="C32" s="51" t="s">
        <v>63</v>
      </c>
      <c r="D32" s="25"/>
      <c r="E32" s="45"/>
      <c r="F32" s="52">
        <f>'Gráficos consumos'!B9</f>
        <v>0</v>
      </c>
      <c r="G32" s="37"/>
      <c r="H32" s="124">
        <f>'Gráficos consumos'!C9</f>
        <v>0</v>
      </c>
      <c r="I32" s="39"/>
      <c r="J32" s="22"/>
      <c r="K32" s="22"/>
      <c r="L32" s="22"/>
      <c r="M32" s="22"/>
      <c r="N32" s="22"/>
      <c r="O32" s="22"/>
      <c r="P32" s="22"/>
      <c r="Q32" s="39"/>
      <c r="R32" s="31"/>
    </row>
    <row r="33" spans="1:19" ht="15" customHeight="1" thickBot="1" x14ac:dyDescent="0.3">
      <c r="A33" s="30"/>
      <c r="B33" s="348" t="s">
        <v>45</v>
      </c>
      <c r="C33" s="350"/>
      <c r="D33" s="25"/>
      <c r="E33" s="366">
        <f>+SUM(F28:F32)</f>
        <v>3105941.6274363799</v>
      </c>
      <c r="F33" s="368"/>
      <c r="G33" s="37"/>
      <c r="H33" s="38">
        <f>+SUM(H28:H32)</f>
        <v>286472662.20000005</v>
      </c>
      <c r="I33" s="39"/>
      <c r="J33" s="22"/>
      <c r="K33" s="22"/>
      <c r="L33" s="22"/>
      <c r="M33" s="22"/>
      <c r="N33" s="22"/>
      <c r="O33" s="22"/>
      <c r="P33" s="22"/>
      <c r="Q33" s="39"/>
      <c r="R33" s="31"/>
    </row>
    <row r="34" spans="1:19" ht="149.25" customHeight="1" thickBot="1" x14ac:dyDescent="0.3">
      <c r="A34" s="30"/>
      <c r="B34" s="26"/>
      <c r="C34" s="26"/>
      <c r="D34" s="25"/>
      <c r="E34" s="39"/>
      <c r="F34" s="26"/>
      <c r="G34" s="26"/>
      <c r="H34" s="26"/>
      <c r="I34" s="39"/>
      <c r="J34" s="22"/>
      <c r="K34" s="22"/>
      <c r="L34" s="22"/>
      <c r="M34" s="22"/>
      <c r="N34" s="22"/>
      <c r="O34" s="22"/>
      <c r="P34" s="22"/>
      <c r="Q34" s="39"/>
      <c r="R34" s="31"/>
    </row>
    <row r="35" spans="1:19" ht="28.5" customHeight="1" thickBot="1" x14ac:dyDescent="0.3">
      <c r="A35" s="30"/>
      <c r="B35" s="348" t="s">
        <v>650</v>
      </c>
      <c r="C35" s="349"/>
      <c r="D35" s="349"/>
      <c r="E35" s="349"/>
      <c r="F35" s="349"/>
      <c r="G35" s="349"/>
      <c r="H35" s="349"/>
      <c r="I35" s="349"/>
      <c r="J35" s="349"/>
      <c r="K35" s="349"/>
      <c r="L35" s="349"/>
      <c r="M35" s="349"/>
      <c r="N35" s="349"/>
      <c r="O35" s="349"/>
      <c r="P35" s="349"/>
      <c r="Q35" s="350"/>
      <c r="R35" s="31"/>
    </row>
    <row r="36" spans="1:19" ht="9.9499999999999993" customHeight="1" thickBot="1" x14ac:dyDescent="0.3">
      <c r="A36" s="30"/>
      <c r="B36" s="26"/>
      <c r="C36" s="26"/>
      <c r="D36" s="26"/>
      <c r="E36" s="26"/>
      <c r="F36" s="26"/>
      <c r="G36" s="26"/>
      <c r="H36" s="26"/>
      <c r="I36" s="26"/>
      <c r="J36" s="22"/>
      <c r="K36" s="22"/>
      <c r="L36" s="22"/>
      <c r="M36" s="22"/>
      <c r="N36" s="22"/>
      <c r="O36" s="22"/>
      <c r="P36" s="22"/>
      <c r="Q36" s="26"/>
      <c r="R36" s="31"/>
    </row>
    <row r="37" spans="1:19" ht="15.75" customHeight="1" thickBot="1" x14ac:dyDescent="0.3">
      <c r="A37" s="30"/>
      <c r="B37" s="335" t="s">
        <v>188</v>
      </c>
      <c r="C37" s="336"/>
      <c r="D37" s="336"/>
      <c r="E37" s="336"/>
      <c r="F37" s="337"/>
      <c r="H37" s="308" t="s">
        <v>208</v>
      </c>
      <c r="I37" s="121"/>
      <c r="J37" s="166"/>
      <c r="K37" s="166"/>
      <c r="L37" s="22"/>
      <c r="M37" s="22"/>
      <c r="N37" s="22"/>
      <c r="O37" s="22"/>
      <c r="P37" s="26"/>
      <c r="Q37" s="26"/>
      <c r="R37" s="31"/>
    </row>
    <row r="38" spans="1:19" ht="4.5" customHeight="1" thickBot="1" x14ac:dyDescent="0.3">
      <c r="A38" s="30"/>
      <c r="B38" s="166"/>
      <c r="C38" s="166"/>
      <c r="D38" s="166"/>
      <c r="H38" s="166"/>
      <c r="I38" s="166"/>
      <c r="J38" s="166"/>
      <c r="K38" s="166"/>
      <c r="L38" s="22"/>
      <c r="M38" s="22"/>
      <c r="N38" s="22"/>
      <c r="O38" s="22"/>
      <c r="P38" s="26"/>
      <c r="Q38" s="26"/>
      <c r="R38" s="31"/>
    </row>
    <row r="39" spans="1:19" ht="15" x14ac:dyDescent="0.25">
      <c r="A39" s="30"/>
      <c r="B39" s="344" t="s">
        <v>189</v>
      </c>
      <c r="C39" s="345"/>
      <c r="D39" s="345"/>
      <c r="E39" s="345"/>
      <c r="F39" s="346"/>
      <c r="H39" s="304">
        <f>'Resumen usos'!I22</f>
        <v>2089673.2321428573</v>
      </c>
      <c r="I39" s="26"/>
      <c r="J39" s="166"/>
      <c r="K39" s="166"/>
      <c r="L39" s="22"/>
      <c r="M39" s="22"/>
      <c r="N39" s="22"/>
      <c r="O39" s="22"/>
      <c r="P39" s="26"/>
      <c r="Q39" s="26"/>
      <c r="R39" s="31"/>
    </row>
    <row r="40" spans="1:19" ht="15" x14ac:dyDescent="0.25">
      <c r="A40" s="30"/>
      <c r="B40" s="341" t="s">
        <v>488</v>
      </c>
      <c r="C40" s="342"/>
      <c r="D40" s="342"/>
      <c r="E40" s="342"/>
      <c r="F40" s="343"/>
      <c r="H40" s="305">
        <f>'Resumen usos'!I23</f>
        <v>12905.357142857145</v>
      </c>
      <c r="I40" s="26"/>
      <c r="J40" s="166"/>
      <c r="K40" s="166"/>
      <c r="L40" s="22"/>
      <c r="M40" s="22"/>
      <c r="N40" s="22"/>
      <c r="O40" s="22"/>
      <c r="P40" s="26"/>
      <c r="Q40" s="26"/>
      <c r="R40" s="31"/>
    </row>
    <row r="41" spans="1:19" ht="15" x14ac:dyDescent="0.25">
      <c r="A41" s="30"/>
      <c r="B41" s="341" t="s">
        <v>509</v>
      </c>
      <c r="C41" s="342"/>
      <c r="D41" s="342"/>
      <c r="E41" s="342"/>
      <c r="F41" s="343"/>
      <c r="H41" s="305">
        <f>'Resumen usos'!I24</f>
        <v>19627.021428571432</v>
      </c>
      <c r="I41" s="26"/>
      <c r="J41" s="166"/>
      <c r="K41" s="166"/>
      <c r="L41" s="22"/>
      <c r="M41" s="22"/>
      <c r="N41" s="22"/>
      <c r="O41" s="22"/>
      <c r="P41" s="39"/>
      <c r="Q41" s="39"/>
      <c r="R41" s="31"/>
      <c r="S41" s="20"/>
    </row>
    <row r="42" spans="1:19" ht="15" x14ac:dyDescent="0.25">
      <c r="A42" s="30"/>
      <c r="B42" s="341" t="s">
        <v>516</v>
      </c>
      <c r="C42" s="342"/>
      <c r="D42" s="342"/>
      <c r="E42" s="342"/>
      <c r="F42" s="343"/>
      <c r="H42" s="305">
        <f>'Resumen usos'!I25</f>
        <v>29230</v>
      </c>
      <c r="I42" s="37"/>
      <c r="J42" s="166"/>
      <c r="K42" s="166"/>
      <c r="L42" s="166"/>
      <c r="M42" s="166"/>
      <c r="N42" s="166"/>
      <c r="O42" s="166"/>
      <c r="P42" s="166"/>
      <c r="Q42" s="166"/>
      <c r="R42" s="31"/>
    </row>
    <row r="43" spans="1:19" ht="15" x14ac:dyDescent="0.25">
      <c r="A43" s="30"/>
      <c r="B43" s="341" t="s">
        <v>631</v>
      </c>
      <c r="C43" s="342"/>
      <c r="D43" s="342"/>
      <c r="E43" s="342"/>
      <c r="F43" s="343"/>
      <c r="H43" s="305">
        <f>'Resumen usos'!I26</f>
        <v>12123.214285714286</v>
      </c>
      <c r="I43" s="37"/>
      <c r="J43" s="166"/>
      <c r="K43" s="166"/>
      <c r="L43" s="166"/>
      <c r="M43" s="166"/>
      <c r="N43" s="166"/>
      <c r="O43" s="166"/>
      <c r="P43" s="166"/>
      <c r="Q43" s="166"/>
      <c r="R43" s="31"/>
    </row>
    <row r="44" spans="1:19" ht="15" x14ac:dyDescent="0.25">
      <c r="A44" s="30"/>
      <c r="B44" s="341" t="s">
        <v>534</v>
      </c>
      <c r="C44" s="342"/>
      <c r="D44" s="342"/>
      <c r="E44" s="342"/>
      <c r="F44" s="343"/>
      <c r="H44" s="305">
        <f>'Resumen usos'!I27</f>
        <v>607187.25</v>
      </c>
      <c r="I44" s="37"/>
      <c r="J44" s="166"/>
      <c r="K44" s="166"/>
      <c r="L44" s="166"/>
      <c r="M44" s="166"/>
      <c r="N44" s="166"/>
      <c r="O44" s="166"/>
      <c r="P44" s="166"/>
      <c r="Q44" s="166"/>
      <c r="R44" s="31"/>
    </row>
    <row r="45" spans="1:19" ht="15" x14ac:dyDescent="0.25">
      <c r="A45" s="30"/>
      <c r="B45" s="341" t="s">
        <v>547</v>
      </c>
      <c r="C45" s="342"/>
      <c r="D45" s="342"/>
      <c r="E45" s="342"/>
      <c r="F45" s="343"/>
      <c r="H45" s="305">
        <f>'Resumen usos'!I28</f>
        <v>242920.53571428571</v>
      </c>
      <c r="I45" s="37"/>
      <c r="J45" s="166"/>
      <c r="K45" s="166"/>
      <c r="L45" s="166"/>
      <c r="M45" s="166"/>
      <c r="N45" s="166"/>
      <c r="O45" s="166"/>
      <c r="P45" s="166"/>
      <c r="Q45" s="166"/>
      <c r="R45" s="31"/>
    </row>
    <row r="46" spans="1:19" ht="15" x14ac:dyDescent="0.25">
      <c r="A46" s="30"/>
      <c r="B46" s="341" t="s">
        <v>563</v>
      </c>
      <c r="C46" s="342"/>
      <c r="D46" s="342"/>
      <c r="E46" s="342"/>
      <c r="F46" s="343"/>
      <c r="H46" s="305">
        <f>'Resumen usos'!I29</f>
        <v>0</v>
      </c>
      <c r="I46" s="26"/>
      <c r="J46" s="166"/>
      <c r="K46" s="166"/>
      <c r="L46" s="166"/>
      <c r="M46" s="166"/>
      <c r="N46" s="166"/>
      <c r="O46" s="166"/>
      <c r="P46" s="166"/>
      <c r="Q46" s="166"/>
      <c r="R46" s="46"/>
    </row>
    <row r="47" spans="1:19" ht="15" x14ac:dyDescent="0.25">
      <c r="A47" s="30"/>
      <c r="B47" s="341" t="s">
        <v>575</v>
      </c>
      <c r="C47" s="342"/>
      <c r="D47" s="342"/>
      <c r="E47" s="342"/>
      <c r="F47" s="343"/>
      <c r="H47" s="305">
        <f>'Resumen usos'!I30</f>
        <v>0</v>
      </c>
      <c r="I47" s="166"/>
      <c r="J47" s="166"/>
      <c r="K47" s="166"/>
      <c r="L47" s="166"/>
      <c r="M47" s="166"/>
      <c r="N47" s="166"/>
      <c r="O47" s="166"/>
      <c r="P47" s="166"/>
      <c r="Q47" s="166"/>
      <c r="R47" s="46"/>
    </row>
    <row r="48" spans="1:19" ht="15" x14ac:dyDescent="0.25">
      <c r="A48" s="30"/>
      <c r="B48" s="341" t="s">
        <v>594</v>
      </c>
      <c r="C48" s="342"/>
      <c r="D48" s="342"/>
      <c r="E48" s="342"/>
      <c r="F48" s="343"/>
      <c r="H48" s="305">
        <f>'Resumen usos'!I31</f>
        <v>87690</v>
      </c>
      <c r="I48" s="166"/>
      <c r="J48" s="166"/>
      <c r="K48" s="166"/>
      <c r="L48" s="166"/>
      <c r="M48" s="166"/>
      <c r="N48" s="166"/>
      <c r="O48" s="166"/>
      <c r="P48" s="166"/>
      <c r="Q48" s="166"/>
      <c r="R48" s="46"/>
    </row>
    <row r="49" spans="1:18" ht="15.75" thickBot="1" x14ac:dyDescent="0.3">
      <c r="A49" s="30"/>
      <c r="B49" s="332" t="s">
        <v>240</v>
      </c>
      <c r="C49" s="333"/>
      <c r="D49" s="333"/>
      <c r="E49" s="333"/>
      <c r="F49" s="334"/>
      <c r="H49" s="306">
        <f>'Resumen usos'!I32</f>
        <v>0</v>
      </c>
      <c r="I49" s="166"/>
      <c r="J49" s="166"/>
      <c r="K49" s="166"/>
      <c r="L49" s="166"/>
      <c r="M49" s="166"/>
      <c r="N49" s="166"/>
      <c r="O49" s="166"/>
      <c r="P49" s="166"/>
      <c r="Q49" s="166"/>
      <c r="R49" s="46"/>
    </row>
    <row r="50" spans="1:18" ht="5.25" customHeight="1" thickBot="1" x14ac:dyDescent="0.3">
      <c r="A50" s="30"/>
      <c r="B50" s="166"/>
      <c r="C50" s="166"/>
      <c r="D50" s="166"/>
      <c r="H50" s="166"/>
      <c r="I50" s="166"/>
      <c r="J50" s="166"/>
      <c r="K50" s="166"/>
      <c r="L50" s="166"/>
      <c r="M50" s="166"/>
      <c r="N50" s="166"/>
      <c r="O50" s="166"/>
      <c r="P50" s="166"/>
      <c r="Q50" s="166"/>
      <c r="R50" s="46"/>
    </row>
    <row r="51" spans="1:18" ht="15.75" thickBot="1" x14ac:dyDescent="0.3">
      <c r="A51" s="30"/>
      <c r="B51" s="338" t="s">
        <v>45</v>
      </c>
      <c r="C51" s="339"/>
      <c r="D51" s="339"/>
      <c r="E51" s="339"/>
      <c r="F51" s="340"/>
      <c r="H51" s="307">
        <f>SUM(H39:H49)</f>
        <v>3101356.6107142861</v>
      </c>
      <c r="I51" s="26"/>
      <c r="J51" s="166"/>
      <c r="K51" s="166"/>
      <c r="L51" s="166"/>
      <c r="M51" s="166"/>
      <c r="N51" s="166"/>
      <c r="O51" s="166"/>
      <c r="P51" s="166"/>
      <c r="Q51" s="166"/>
      <c r="R51" s="46"/>
    </row>
    <row r="52" spans="1:18" ht="15" x14ac:dyDescent="0.25">
      <c r="A52" s="30"/>
      <c r="B52" s="166"/>
      <c r="C52" s="166"/>
      <c r="D52" s="166"/>
      <c r="E52" s="166"/>
      <c r="F52" s="166"/>
      <c r="G52" s="166"/>
      <c r="H52" s="166"/>
      <c r="I52" s="166"/>
      <c r="J52" s="166"/>
      <c r="K52" s="166"/>
      <c r="L52" s="166"/>
      <c r="M52" s="166"/>
      <c r="N52" s="166"/>
      <c r="O52" s="166"/>
      <c r="P52" s="166"/>
      <c r="Q52" s="166"/>
      <c r="R52" s="46"/>
    </row>
    <row r="53" spans="1:18" ht="15" x14ac:dyDescent="0.25">
      <c r="A53" s="30"/>
      <c r="B53" s="166"/>
      <c r="C53" s="166"/>
      <c r="D53" s="166"/>
      <c r="E53" s="166"/>
      <c r="F53" s="166"/>
      <c r="G53" s="166"/>
      <c r="H53" s="166"/>
      <c r="I53" s="166"/>
      <c r="J53" s="166"/>
      <c r="K53" s="166"/>
      <c r="L53" s="166"/>
      <c r="M53" s="166"/>
      <c r="N53" s="166"/>
      <c r="O53" s="166"/>
      <c r="P53" s="166"/>
      <c r="Q53" s="166"/>
      <c r="R53" s="46"/>
    </row>
    <row r="54" spans="1:18" ht="15" x14ac:dyDescent="0.25">
      <c r="A54" s="30"/>
      <c r="B54" s="166"/>
      <c r="C54" s="166"/>
      <c r="D54" s="166"/>
      <c r="E54" s="166"/>
      <c r="F54" s="166"/>
      <c r="G54" s="166"/>
      <c r="H54" s="166"/>
      <c r="I54" s="166"/>
      <c r="J54" s="166"/>
      <c r="K54" s="166"/>
      <c r="L54" s="166"/>
      <c r="M54" s="166"/>
      <c r="N54" s="166"/>
      <c r="O54" s="166"/>
      <c r="P54" s="166"/>
      <c r="Q54" s="166"/>
      <c r="R54" s="46"/>
    </row>
    <row r="55" spans="1:18" ht="15" x14ac:dyDescent="0.25">
      <c r="A55" s="30"/>
      <c r="B55" s="166"/>
      <c r="C55" s="166"/>
      <c r="D55" s="166"/>
      <c r="E55" s="166"/>
      <c r="F55" s="166"/>
      <c r="G55" s="166"/>
      <c r="H55" s="166"/>
      <c r="I55" s="166"/>
      <c r="J55" s="166"/>
      <c r="K55" s="166"/>
      <c r="L55" s="166"/>
      <c r="M55" s="166"/>
      <c r="N55" s="166"/>
      <c r="O55" s="166"/>
      <c r="P55" s="166"/>
      <c r="Q55" s="166"/>
      <c r="R55" s="46"/>
    </row>
    <row r="56" spans="1:18" ht="15" x14ac:dyDescent="0.25">
      <c r="A56" s="30"/>
      <c r="B56" s="166"/>
      <c r="C56" s="166"/>
      <c r="D56" s="166"/>
      <c r="E56" s="166"/>
      <c r="F56" s="166"/>
      <c r="G56" s="166"/>
      <c r="H56" s="166"/>
      <c r="I56" s="166"/>
      <c r="J56" s="166"/>
      <c r="K56" s="166"/>
      <c r="L56" s="166"/>
      <c r="M56" s="166"/>
      <c r="N56" s="166"/>
      <c r="O56" s="166"/>
      <c r="P56" s="166"/>
      <c r="Q56" s="166"/>
      <c r="R56" s="46"/>
    </row>
    <row r="57" spans="1:18" ht="15" x14ac:dyDescent="0.25">
      <c r="A57" s="30"/>
      <c r="B57" s="166"/>
      <c r="C57" s="166"/>
      <c r="D57" s="166"/>
      <c r="E57" s="166"/>
      <c r="F57" s="166"/>
      <c r="G57" s="166"/>
      <c r="H57" s="166"/>
      <c r="I57" s="166"/>
      <c r="J57" s="166"/>
      <c r="K57" s="166"/>
      <c r="L57" s="166"/>
      <c r="M57" s="166"/>
      <c r="N57" s="166"/>
      <c r="O57" s="166"/>
      <c r="P57" s="166"/>
      <c r="Q57" s="166"/>
      <c r="R57" s="46"/>
    </row>
    <row r="58" spans="1:18" ht="15.75" thickBot="1" x14ac:dyDescent="0.3">
      <c r="A58" s="30"/>
      <c r="B58" s="166"/>
      <c r="C58" s="166"/>
      <c r="D58" s="166"/>
      <c r="E58" s="166"/>
      <c r="F58" s="166"/>
      <c r="G58" s="166"/>
      <c r="H58" s="166"/>
      <c r="I58" s="166"/>
      <c r="J58" s="166"/>
      <c r="K58" s="166"/>
      <c r="L58" s="166"/>
      <c r="M58" s="166"/>
      <c r="N58" s="166"/>
      <c r="O58" s="166"/>
      <c r="P58" s="166"/>
      <c r="Q58" s="166"/>
      <c r="R58" s="46"/>
    </row>
    <row r="59" spans="1:18" ht="12.75" thickBot="1" x14ac:dyDescent="0.3">
      <c r="A59" s="30"/>
      <c r="B59" s="116"/>
      <c r="C59" s="117"/>
      <c r="D59" s="117"/>
      <c r="E59" s="117"/>
      <c r="F59" s="117"/>
      <c r="G59" s="117"/>
      <c r="H59" s="117"/>
      <c r="I59" s="117"/>
      <c r="J59" s="117"/>
      <c r="K59" s="117"/>
      <c r="L59" s="117"/>
      <c r="M59" s="117"/>
      <c r="N59" s="117"/>
      <c r="O59" s="117"/>
      <c r="P59" s="117"/>
      <c r="Q59" s="118"/>
      <c r="R59" s="46"/>
    </row>
    <row r="60" spans="1:18" ht="6" customHeight="1" thickBot="1" x14ac:dyDescent="0.3">
      <c r="A60" s="48"/>
      <c r="B60" s="49"/>
      <c r="C60" s="49"/>
      <c r="D60" s="49"/>
      <c r="E60" s="49"/>
      <c r="F60" s="49"/>
      <c r="G60" s="49"/>
      <c r="H60" s="49"/>
      <c r="I60" s="49"/>
      <c r="J60" s="49"/>
      <c r="K60" s="49"/>
      <c r="L60" s="49"/>
      <c r="M60" s="49"/>
      <c r="N60" s="49"/>
      <c r="O60" s="49"/>
      <c r="P60" s="49"/>
      <c r="Q60" s="49"/>
      <c r="R60" s="50"/>
    </row>
    <row r="61" spans="1:18" ht="12.75" thickTop="1" x14ac:dyDescent="0.25"/>
  </sheetData>
  <mergeCells count="45">
    <mergeCell ref="E10:H10"/>
    <mergeCell ref="J10:K10"/>
    <mergeCell ref="B10:C10"/>
    <mergeCell ref="E27:F27"/>
    <mergeCell ref="E12:Q12"/>
    <mergeCell ref="E18:M18"/>
    <mergeCell ref="J20:M20"/>
    <mergeCell ref="J21:M21"/>
    <mergeCell ref="B14:C14"/>
    <mergeCell ref="E14:H14"/>
    <mergeCell ref="J14:K14"/>
    <mergeCell ref="B35:Q35"/>
    <mergeCell ref="B33:C33"/>
    <mergeCell ref="E33:F33"/>
    <mergeCell ref="B27:C27"/>
    <mergeCell ref="E25:H25"/>
    <mergeCell ref="O2:Q2"/>
    <mergeCell ref="B4:Q4"/>
    <mergeCell ref="B16:Q16"/>
    <mergeCell ref="B23:Q23"/>
    <mergeCell ref="M2:N2"/>
    <mergeCell ref="B18:C21"/>
    <mergeCell ref="B6:Q6"/>
    <mergeCell ref="B8:C8"/>
    <mergeCell ref="E8:H8"/>
    <mergeCell ref="J8:K8"/>
    <mergeCell ref="M8:Q8"/>
    <mergeCell ref="P10:Q10"/>
    <mergeCell ref="E20:H20"/>
    <mergeCell ref="E21:H21"/>
    <mergeCell ref="M14:Q14"/>
    <mergeCell ref="B12:C12"/>
    <mergeCell ref="B49:F49"/>
    <mergeCell ref="B37:F37"/>
    <mergeCell ref="B51:F51"/>
    <mergeCell ref="B47:F47"/>
    <mergeCell ref="B48:F48"/>
    <mergeCell ref="B44:F44"/>
    <mergeCell ref="B45:F45"/>
    <mergeCell ref="B42:F42"/>
    <mergeCell ref="B43:F43"/>
    <mergeCell ref="B46:F46"/>
    <mergeCell ref="B39:F39"/>
    <mergeCell ref="B40:F40"/>
    <mergeCell ref="B41:F41"/>
  </mergeCells>
  <pageMargins left="0.7" right="0.7" top="0.75" bottom="0.75" header="0.3" footer="0.3"/>
  <drawing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INDIRECT(VLOOKUP($E$14,Listas!$S$1:$T$10,2,FALSE))</xm:f>
          </x14:formula1>
          <xm:sqref>M14:Q14</xm:sqref>
        </x14:dataValidation>
        <x14:dataValidation type="list" allowBlank="1" showInputMessage="1" showErrorMessage="1">
          <x14:formula1>
            <xm:f>Listas!$S$1:$S$10</xm:f>
          </x14:formula1>
          <xm:sqref>E14:H14</xm:sqref>
        </x14:dataValidation>
        <x14:dataValidation type="list" allowBlank="1" showInputMessage="1" showErrorMessage="1">
          <x14:formula1>
            <xm:f>Listas!$V$1:$V$16</xm:f>
          </x14:formula1>
          <xm:sqref>P10:Q10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3:R95"/>
  <sheetViews>
    <sheetView topLeftCell="A88" zoomScale="90" zoomScaleNormal="90" workbookViewId="0">
      <selection activeCell="C103" sqref="C103"/>
    </sheetView>
  </sheetViews>
  <sheetFormatPr baseColWidth="10" defaultColWidth="10.7109375" defaultRowHeight="15" x14ac:dyDescent="0.25"/>
  <cols>
    <col min="1" max="1" width="10.5703125" style="234" bestFit="1" customWidth="1"/>
    <col min="2" max="2" width="3" style="234" bestFit="1" customWidth="1"/>
    <col min="3" max="3" width="31.7109375" style="234" customWidth="1"/>
    <col min="4" max="4" width="17.140625" style="235" customWidth="1"/>
    <col min="5" max="5" width="21.85546875" style="235" customWidth="1"/>
    <col min="6" max="6" width="21" style="235" customWidth="1"/>
    <col min="7" max="7" width="21.28515625" style="235" customWidth="1"/>
    <col min="8" max="8" width="18.28515625" style="235" customWidth="1"/>
    <col min="9" max="9" width="18.42578125" style="235" customWidth="1"/>
    <col min="10" max="10" width="21" style="237" customWidth="1"/>
    <col min="11" max="11" width="21.28515625" style="234" customWidth="1"/>
    <col min="12" max="12" width="11.5703125" style="236" customWidth="1"/>
    <col min="13" max="13" width="14.28515625" style="236" customWidth="1"/>
    <col min="14" max="14" width="13.85546875" style="238" customWidth="1"/>
    <col min="15" max="16" width="14.85546875" style="239" customWidth="1"/>
    <col min="17" max="17" width="17.85546875" style="166" customWidth="1"/>
    <col min="18" max="18" width="17.28515625" style="166" customWidth="1"/>
    <col min="19" max="19" width="16.5703125" style="166" customWidth="1"/>
    <col min="20" max="16384" width="10.7109375" style="166"/>
  </cols>
  <sheetData>
    <row r="3" spans="1:18" s="32" customFormat="1" ht="24.75" customHeight="1" x14ac:dyDescent="0.25">
      <c r="D3" s="382" t="s">
        <v>277</v>
      </c>
      <c r="E3" s="382"/>
      <c r="F3" s="382" t="s">
        <v>278</v>
      </c>
      <c r="G3" s="382"/>
      <c r="H3" s="382" t="s">
        <v>654</v>
      </c>
      <c r="I3" s="382"/>
      <c r="J3" s="382" t="s">
        <v>279</v>
      </c>
      <c r="K3" s="382"/>
      <c r="O3" s="163"/>
      <c r="P3" s="163"/>
      <c r="Q3" s="163"/>
    </row>
    <row r="4" spans="1:18" s="32" customFormat="1" ht="12" customHeight="1" x14ac:dyDescent="0.25">
      <c r="C4" s="165"/>
      <c r="D4" s="298" t="s">
        <v>275</v>
      </c>
      <c r="E4" s="298" t="s">
        <v>276</v>
      </c>
      <c r="F4" s="298" t="s">
        <v>275</v>
      </c>
      <c r="G4" s="298" t="s">
        <v>276</v>
      </c>
      <c r="H4" s="298" t="s">
        <v>275</v>
      </c>
      <c r="I4" s="298" t="s">
        <v>276</v>
      </c>
      <c r="J4" s="298" t="s">
        <v>275</v>
      </c>
      <c r="K4" s="298" t="s">
        <v>276</v>
      </c>
    </row>
    <row r="5" spans="1:18" s="32" customFormat="1" ht="12" customHeight="1" x14ac:dyDescent="0.25">
      <c r="C5" s="302" t="s">
        <v>331</v>
      </c>
      <c r="D5" s="299" t="s">
        <v>332</v>
      </c>
      <c r="E5" s="299" t="s">
        <v>332</v>
      </c>
      <c r="F5" s="326">
        <f ca="1">Electricidad!E12</f>
        <v>63313270.607500046</v>
      </c>
      <c r="G5" s="326">
        <f ca="1">F5</f>
        <v>63313270.607500046</v>
      </c>
      <c r="H5" s="299" t="s">
        <v>332</v>
      </c>
      <c r="I5" s="299" t="s">
        <v>332</v>
      </c>
      <c r="J5" s="299" t="s">
        <v>332</v>
      </c>
      <c r="K5" s="299" t="s">
        <v>332</v>
      </c>
    </row>
    <row r="6" spans="1:18" s="32" customFormat="1" ht="12" customHeight="1" x14ac:dyDescent="0.25">
      <c r="C6" s="302" t="s">
        <v>333</v>
      </c>
      <c r="D6" s="299" t="s">
        <v>332</v>
      </c>
      <c r="E6" s="299" t="s">
        <v>332</v>
      </c>
      <c r="F6" s="326">
        <f>Electricidad!E16</f>
        <v>315000</v>
      </c>
      <c r="G6" s="326">
        <f>F6</f>
        <v>315000</v>
      </c>
      <c r="H6" s="299" t="s">
        <v>332</v>
      </c>
      <c r="I6" s="299" t="s">
        <v>332</v>
      </c>
      <c r="J6" s="299" t="s">
        <v>332</v>
      </c>
      <c r="K6" s="299" t="s">
        <v>332</v>
      </c>
    </row>
    <row r="7" spans="1:18" s="32" customFormat="1" ht="12" customHeight="1" x14ac:dyDescent="0.25">
      <c r="C7" s="302" t="s">
        <v>334</v>
      </c>
      <c r="D7" s="299" t="s">
        <v>332</v>
      </c>
      <c r="E7" s="299" t="s">
        <v>332</v>
      </c>
      <c r="F7" s="326">
        <f ca="1">Electricidad!I20</f>
        <v>12772630.380000003</v>
      </c>
      <c r="G7" s="326">
        <f ca="1">F7</f>
        <v>12772630.380000003</v>
      </c>
      <c r="H7" s="299" t="s">
        <v>332</v>
      </c>
      <c r="I7" s="299" t="s">
        <v>332</v>
      </c>
      <c r="J7" s="299" t="s">
        <v>332</v>
      </c>
      <c r="K7" s="299" t="s">
        <v>332</v>
      </c>
    </row>
    <row r="8" spans="1:18" s="32" customFormat="1" x14ac:dyDescent="0.25">
      <c r="C8" s="302" t="s">
        <v>335</v>
      </c>
      <c r="D8" s="330">
        <f ca="1">'Recambio luminarias'!U36</f>
        <v>490289.94345238089</v>
      </c>
      <c r="E8" s="330">
        <f ca="1">'Recambio luminarias'!AD36</f>
        <v>1092663.3075863095</v>
      </c>
      <c r="F8" s="327">
        <f ca="1">'Recambio luminarias'!V36</f>
        <v>42030959.834324643</v>
      </c>
      <c r="G8" s="328">
        <f ca="1">'Recambio luminarias'!AE36</f>
        <v>93670466.235171705</v>
      </c>
      <c r="H8" s="300">
        <f ca="1">'Recambio luminarias'!V37</f>
        <v>0.2346251729269713</v>
      </c>
      <c r="I8" s="301">
        <f ca="1">'Recambio luminarias'!AE37</f>
        <v>0.52288716282489633</v>
      </c>
      <c r="J8" s="300">
        <f ca="1">F8/'Resumen consumos y usos'!$H$33</f>
        <v>0.14671892079175378</v>
      </c>
      <c r="K8" s="300">
        <f ca="1">G8/'Resumen consumos y usos'!$H$33</f>
        <v>0.32697872640208842</v>
      </c>
    </row>
    <row r="9" spans="1:18" s="32" customFormat="1" x14ac:dyDescent="0.25">
      <c r="C9" s="331" t="s">
        <v>655</v>
      </c>
      <c r="D9" s="330">
        <f t="array" ref="D9">LARGE(IF($K$15:$K$95=Listas!$W2,$Q$15:$Q$95),2)</f>
        <v>801041.40565476206</v>
      </c>
      <c r="E9" s="330">
        <f t="array" ref="E9">MAX(IF($K$15:$K$95=Listas!$W2,$Q$15:$Q$95))</f>
        <v>848198.3649267857</v>
      </c>
      <c r="F9" s="329">
        <f t="array" ref="F9">LARGE(IF($K$15:$K$95=Listas!$W2,$R$15:$R$95),2)</f>
        <v>68670670.480469048</v>
      </c>
      <c r="G9" s="329">
        <f t="array" ref="G9">MAX(IF($K$15:$K$95=Listas!$W2,$R$15:$R$95))</f>
        <v>72713282.994840994</v>
      </c>
      <c r="H9" s="300">
        <f>D9/SUM('Usos Electricidad'!$AJ$5:$AJ$15)</f>
        <v>0.31439222118703458</v>
      </c>
      <c r="I9" s="300">
        <f>E9/SUM('Usos Electricidad'!$AJ$5:$AJ$15)</f>
        <v>0.33290035455604516</v>
      </c>
      <c r="J9" s="300">
        <f>D9/'Resumen usos'!$D$4</f>
        <v>0.25828742031223673</v>
      </c>
      <c r="K9" s="300">
        <f>E9/'Resumen usos'!$D$4</f>
        <v>0.27349268844713964</v>
      </c>
    </row>
    <row r="10" spans="1:18" x14ac:dyDescent="0.25">
      <c r="C10" s="331" t="s">
        <v>656</v>
      </c>
      <c r="D10" s="330">
        <f t="array" ref="D10">LARGE(IF($K$15:$K$95=Listas!$W3,$Q$15:$Q$95),2)</f>
        <v>15784.199999999999</v>
      </c>
      <c r="E10" s="330">
        <f t="array" ref="E10">MAX(IF($K$15:$K$95=Listas!$W3,$Q$15:$Q$95))</f>
        <v>17538</v>
      </c>
      <c r="F10" s="329">
        <f t="array" ref="F10">LARGE(IF($K$15:$K$95=Listas!$W3,$R$15:$R$95),2)</f>
        <v>1431831.1389885007</v>
      </c>
      <c r="G10" s="329">
        <f t="array" ref="G10">MAX(IF($K$15:$K$95=Listas!$W3,$R$15:$R$95))</f>
        <v>1590923.4877650009</v>
      </c>
      <c r="H10" s="300">
        <f>D10/SUM('Resumen usos'!$I$36:$I$46)</f>
        <v>2.8519548987043952E-2</v>
      </c>
      <c r="I10" s="300">
        <f>E10/SUM('Resumen usos'!$I$36:$I$46)</f>
        <v>3.1688387763382168E-2</v>
      </c>
      <c r="J10" s="300">
        <f>D10/'Resumen usos'!$D$4</f>
        <v>5.0894501469122286E-3</v>
      </c>
      <c r="K10" s="300">
        <f>E10/'Resumen usos'!$D$4</f>
        <v>5.6549446076802545E-3</v>
      </c>
    </row>
    <row r="11" spans="1:18" x14ac:dyDescent="0.25">
      <c r="C11" s="331" t="s">
        <v>657</v>
      </c>
      <c r="D11" s="330">
        <f>LARGE($Q$15:$Q$95,2)</f>
        <v>801041.40565476206</v>
      </c>
      <c r="E11" s="330">
        <f>MAX($Q$15:$Q$95)</f>
        <v>848198.3649267857</v>
      </c>
      <c r="F11" s="329">
        <f>LARGE($Q$15:$Q$95,2)</f>
        <v>801041.40565476206</v>
      </c>
      <c r="G11" s="329">
        <f>MAX($Q$15:$Q$95)</f>
        <v>848198.3649267857</v>
      </c>
      <c r="H11" s="300">
        <f>D11/SUM('Usos Electricidad'!$AJ$5:$AJ$15)</f>
        <v>0.31439222118703458</v>
      </c>
      <c r="I11" s="300">
        <f>E11/SUM('Usos Electricidad'!$AJ$5:$AJ$15)</f>
        <v>0.33290035455604516</v>
      </c>
      <c r="J11" s="300">
        <f>D11/'Resumen usos'!$D$4</f>
        <v>0.25828742031223673</v>
      </c>
      <c r="K11" s="300">
        <f>E11/'Resumen usos'!$D$4</f>
        <v>0.27349268844713964</v>
      </c>
    </row>
    <row r="12" spans="1:18" x14ac:dyDescent="0.25">
      <c r="C12" s="234" t="s">
        <v>658</v>
      </c>
    </row>
    <row r="14" spans="1:18" s="233" customFormat="1" ht="56.25" x14ac:dyDescent="0.25">
      <c r="A14" s="240" t="s">
        <v>465</v>
      </c>
      <c r="B14" s="241"/>
      <c r="C14" s="241" t="s">
        <v>466</v>
      </c>
      <c r="D14" s="379" t="s">
        <v>628</v>
      </c>
      <c r="E14" s="380"/>
      <c r="F14" s="381"/>
      <c r="G14" s="379" t="s">
        <v>627</v>
      </c>
      <c r="H14" s="380"/>
      <c r="I14" s="381"/>
      <c r="J14" s="242" t="s">
        <v>468</v>
      </c>
      <c r="K14" s="241" t="s">
        <v>387</v>
      </c>
      <c r="L14" s="241" t="s">
        <v>629</v>
      </c>
      <c r="M14" s="281" t="s">
        <v>467</v>
      </c>
      <c r="N14" s="282" t="s">
        <v>469</v>
      </c>
      <c r="O14" s="281" t="s">
        <v>644</v>
      </c>
      <c r="P14" s="281" t="s">
        <v>630</v>
      </c>
      <c r="Q14" s="281" t="s">
        <v>646</v>
      </c>
      <c r="R14" s="281" t="s">
        <v>645</v>
      </c>
    </row>
    <row r="15" spans="1:18" ht="30" x14ac:dyDescent="0.25">
      <c r="A15" s="386" t="s">
        <v>470</v>
      </c>
      <c r="B15" s="244">
        <v>1</v>
      </c>
      <c r="C15" s="245" t="s">
        <v>189</v>
      </c>
      <c r="D15" s="383" t="s">
        <v>471</v>
      </c>
      <c r="E15" s="384"/>
      <c r="F15" s="385"/>
      <c r="G15" s="383" t="s">
        <v>472</v>
      </c>
      <c r="H15" s="384"/>
      <c r="I15" s="385"/>
      <c r="J15" s="246" t="s">
        <v>473</v>
      </c>
      <c r="K15" s="289" t="s">
        <v>33</v>
      </c>
      <c r="L15" s="262" t="s">
        <v>132</v>
      </c>
      <c r="M15" s="262">
        <v>0.26729999999999998</v>
      </c>
      <c r="N15" s="263">
        <v>2</v>
      </c>
      <c r="O15" s="324" t="s">
        <v>712</v>
      </c>
      <c r="P15" s="430" t="str">
        <f>IF(O15="","",O15/R15)</f>
        <v/>
      </c>
      <c r="Q15" s="429">
        <f>IFERROR(IF('Medidas EE'!$L15="SI",$M15*IF($K15=Listas!$W$4,VLOOKUP('Medidas EE'!$C15,'Resumen usos'!$H$22:$J$32,2,FALSE),IF($K15=Listas!$W$3,VLOOKUP('Medidas EE'!$C15,'Resumen usos'!$H$36:$J$46,2,FALSE),IF($K15=Listas!$W$2,VLOOKUP('Medidas EE'!$C15,'Usos Electricidad'!$AI$5:$AK$15,2,FALSE),"S/I"))),"N/A"),"S/I")</f>
        <v>558569.65495178569</v>
      </c>
      <c r="R15" s="429">
        <f>IFERROR(IF('Medidas EE'!$L15="SI",$M15*IF($K15=Listas!$W$4,VLOOKUP('Medidas EE'!$C15,'Resumen usos'!$H$22:$J$32,3,FALSE),IF($K15=Listas!$W$3,VLOOKUP('Medidas EE'!$C15,'Resumen usos'!$H$36:$J$46,3,FALSE),IF($K15=Listas!$W$2,VLOOKUP('Medidas EE'!$C15,'Usos Electricidad'!$AI$5:$AK$15,3,FALSE),"S/I"))),"N/A"),"S/I")</f>
        <v>47884357.094163582</v>
      </c>
    </row>
    <row r="16" spans="1:18" ht="45" x14ac:dyDescent="0.25">
      <c r="A16" s="387"/>
      <c r="B16" s="244">
        <v>3</v>
      </c>
      <c r="C16" s="245" t="s">
        <v>189</v>
      </c>
      <c r="D16" s="383" t="s">
        <v>474</v>
      </c>
      <c r="E16" s="384"/>
      <c r="F16" s="385"/>
      <c r="G16" s="383" t="s">
        <v>475</v>
      </c>
      <c r="H16" s="384"/>
      <c r="I16" s="385"/>
      <c r="J16" s="246" t="s">
        <v>476</v>
      </c>
      <c r="K16" s="289" t="s">
        <v>33</v>
      </c>
      <c r="L16" s="262" t="s">
        <v>132</v>
      </c>
      <c r="M16" s="262">
        <v>0.13</v>
      </c>
      <c r="N16" s="263">
        <v>3</v>
      </c>
      <c r="O16" s="324" t="s">
        <v>712</v>
      </c>
      <c r="P16" s="430" t="str">
        <f t="shared" ref="P16:P79" si="0">IF(O16="","",O16/R16)</f>
        <v/>
      </c>
      <c r="Q16" s="429">
        <f>IFERROR(IF('Medidas EE'!$L16="SI",$M16*IF($K16=Listas!$W$4,VLOOKUP('Medidas EE'!$C16,'Resumen usos'!$H$22:$J$32,2,FALSE),IF($K16=Listas!$W$3,VLOOKUP('Medidas EE'!$C16,'Resumen usos'!$H$36:$J$46,2,FALSE),IF($K16=Listas!$W$2,VLOOKUP('Medidas EE'!$C16,'Usos Electricidad'!$AI$5:$AK$15,2,FALSE),"S/I"))),"N/A"),"S/I")</f>
        <v>271657.52017857146</v>
      </c>
      <c r="R16" s="429">
        <f>IFERROR(IF('Medidas EE'!$L16="SI",$M16*IF($K16=Listas!$W$4,VLOOKUP('Medidas EE'!$C16,'Resumen usos'!$H$22:$J$32,3,FALSE),IF($K16=Listas!$W$3,VLOOKUP('Medidas EE'!$C16,'Resumen usos'!$H$36:$J$46,3,FALSE),IF($K16=Listas!$W$2,VLOOKUP('Medidas EE'!$C16,'Usos Electricidad'!$AI$5:$AK$15,3,FALSE),"S/I"))),"N/A"),"S/I")</f>
        <v>23288314.336854719</v>
      </c>
    </row>
    <row r="17" spans="1:18" ht="51.75" customHeight="1" x14ac:dyDescent="0.25">
      <c r="A17" s="387"/>
      <c r="B17" s="244">
        <v>4</v>
      </c>
      <c r="C17" s="245" t="s">
        <v>189</v>
      </c>
      <c r="D17" s="383" t="s">
        <v>477</v>
      </c>
      <c r="E17" s="384"/>
      <c r="F17" s="385"/>
      <c r="G17" s="383" t="s">
        <v>478</v>
      </c>
      <c r="H17" s="384"/>
      <c r="I17" s="385"/>
      <c r="J17" s="246" t="s">
        <v>473</v>
      </c>
      <c r="K17" s="289" t="s">
        <v>33</v>
      </c>
      <c r="L17" s="262" t="s">
        <v>132</v>
      </c>
      <c r="M17" s="262">
        <v>0.40589999999999998</v>
      </c>
      <c r="N17" s="263">
        <v>2</v>
      </c>
      <c r="O17" s="324" t="s">
        <v>712</v>
      </c>
      <c r="P17" s="430" t="str">
        <f t="shared" si="0"/>
        <v/>
      </c>
      <c r="Q17" s="429">
        <f>IFERROR(IF('Medidas EE'!$L17="SI",$M17*IF($K17=Listas!$W$4,VLOOKUP('Medidas EE'!$C17,'Resumen usos'!$H$22:$J$32,2,FALSE),IF($K17=Listas!$W$3,VLOOKUP('Medidas EE'!$C17,'Resumen usos'!$H$36:$J$46,2,FALSE),IF($K17=Listas!$W$2,VLOOKUP('Medidas EE'!$C17,'Usos Electricidad'!$AI$5:$AK$15,2,FALSE),"S/I"))),"N/A"),"S/I")</f>
        <v>848198.3649267857</v>
      </c>
      <c r="R17" s="429">
        <f>IFERROR(IF('Medidas EE'!$L17="SI",$M17*IF($K17=Listas!$W$4,VLOOKUP('Medidas EE'!$C17,'Resumen usos'!$H$22:$J$32,3,FALSE),IF($K17=Listas!$W$3,VLOOKUP('Medidas EE'!$C17,'Resumen usos'!$H$36:$J$46,3,FALSE),IF($K17=Listas!$W$2,VLOOKUP('Medidas EE'!$C17,'Usos Electricidad'!$AI$5:$AK$15,3,FALSE),"S/I"))),"N/A"),"S/I")</f>
        <v>72713282.994840994</v>
      </c>
    </row>
    <row r="18" spans="1:18" ht="52.5" customHeight="1" x14ac:dyDescent="0.25">
      <c r="A18" s="387"/>
      <c r="B18" s="244">
        <v>5</v>
      </c>
      <c r="C18" s="245" t="s">
        <v>189</v>
      </c>
      <c r="D18" s="383" t="s">
        <v>479</v>
      </c>
      <c r="E18" s="384"/>
      <c r="F18" s="385"/>
      <c r="G18" s="383" t="s">
        <v>480</v>
      </c>
      <c r="H18" s="384"/>
      <c r="I18" s="385"/>
      <c r="J18" s="246" t="s">
        <v>481</v>
      </c>
      <c r="K18" s="289" t="s">
        <v>33</v>
      </c>
      <c r="L18" s="262" t="s">
        <v>132</v>
      </c>
      <c r="M18" s="262">
        <f>2.2/6</f>
        <v>0.3666666666666667</v>
      </c>
      <c r="N18" s="263">
        <v>1</v>
      </c>
      <c r="O18" s="324" t="s">
        <v>712</v>
      </c>
      <c r="P18" s="430" t="str">
        <f t="shared" si="0"/>
        <v/>
      </c>
      <c r="Q18" s="429">
        <f>IFERROR(IF('Medidas EE'!$L18="SI",$M18*IF($K18=Listas!$W$4,VLOOKUP('Medidas EE'!$C18,'Resumen usos'!$H$22:$J$32,2,FALSE),IF($K18=Listas!$W$3,VLOOKUP('Medidas EE'!$C18,'Resumen usos'!$H$36:$J$46,2,FALSE),IF($K18=Listas!$W$2,VLOOKUP('Medidas EE'!$C18,'Usos Electricidad'!$AI$5:$AK$15,2,FALSE),"S/I"))),"N/A"),"S/I")</f>
        <v>766213.51845238102</v>
      </c>
      <c r="R18" s="429">
        <f>IFERROR(IF('Medidas EE'!$L18="SI",$M18*IF($K18=Listas!$W$4,VLOOKUP('Medidas EE'!$C18,'Resumen usos'!$H$22:$J$32,3,FALSE),IF($K18=Listas!$W$3,VLOOKUP('Medidas EE'!$C18,'Resumen usos'!$H$36:$J$46,3,FALSE),IF($K18=Listas!$W$2,VLOOKUP('Medidas EE'!$C18,'Usos Electricidad'!$AI$5:$AK$15,3,FALSE),"S/I"))),"N/A"),"S/I")</f>
        <v>65684989.15523126</v>
      </c>
    </row>
    <row r="19" spans="1:18" ht="30" x14ac:dyDescent="0.25">
      <c r="A19" s="387"/>
      <c r="B19" s="244">
        <v>6</v>
      </c>
      <c r="C19" s="245" t="s">
        <v>189</v>
      </c>
      <c r="D19" s="383" t="s">
        <v>482</v>
      </c>
      <c r="E19" s="384"/>
      <c r="F19" s="385"/>
      <c r="G19" s="383" t="s">
        <v>483</v>
      </c>
      <c r="H19" s="384"/>
      <c r="I19" s="385"/>
      <c r="J19" s="246" t="s">
        <v>473</v>
      </c>
      <c r="K19" s="289" t="s">
        <v>33</v>
      </c>
      <c r="L19" s="262" t="s">
        <v>132</v>
      </c>
      <c r="M19" s="262">
        <f>0.023/0.06</f>
        <v>0.38333333333333336</v>
      </c>
      <c r="N19" s="263">
        <v>3</v>
      </c>
      <c r="O19" s="324" t="s">
        <v>712</v>
      </c>
      <c r="P19" s="430" t="str">
        <f t="shared" si="0"/>
        <v/>
      </c>
      <c r="Q19" s="429">
        <f>IFERROR(IF('Medidas EE'!$L19="SI",$M19*IF($K19=Listas!$W$4,VLOOKUP('Medidas EE'!$C19,'Resumen usos'!$H$22:$J$32,2,FALSE),IF($K19=Listas!$W$3,VLOOKUP('Medidas EE'!$C19,'Resumen usos'!$H$36:$J$46,2,FALSE),IF($K19=Listas!$W$2,VLOOKUP('Medidas EE'!$C19,'Usos Electricidad'!$AI$5:$AK$15,2,FALSE),"S/I"))),"N/A"),"S/I")</f>
        <v>801041.40565476206</v>
      </c>
      <c r="R19" s="429">
        <f>IFERROR(IF('Medidas EE'!$L19="SI",$M19*IF($K19=Listas!$W$4,VLOOKUP('Medidas EE'!$C19,'Resumen usos'!$H$22:$J$32,3,FALSE),IF($K19=Listas!$W$3,VLOOKUP('Medidas EE'!$C19,'Resumen usos'!$H$36:$J$46,3,FALSE),IF($K19=Listas!$W$2,VLOOKUP('Medidas EE'!$C19,'Usos Electricidad'!$AI$5:$AK$15,3,FALSE),"S/I"))),"N/A"),"S/I")</f>
        <v>68670670.480469048</v>
      </c>
    </row>
    <row r="20" spans="1:18" ht="15" customHeight="1" x14ac:dyDescent="0.25">
      <c r="A20" s="387"/>
      <c r="B20" s="244">
        <v>7</v>
      </c>
      <c r="C20" s="245" t="s">
        <v>189</v>
      </c>
      <c r="D20" s="383" t="s">
        <v>484</v>
      </c>
      <c r="E20" s="384"/>
      <c r="F20" s="385"/>
      <c r="G20" s="383" t="s">
        <v>485</v>
      </c>
      <c r="H20" s="384"/>
      <c r="I20" s="385"/>
      <c r="J20" s="246" t="s">
        <v>481</v>
      </c>
      <c r="K20" s="289" t="s">
        <v>33</v>
      </c>
      <c r="L20" s="262" t="s">
        <v>132</v>
      </c>
      <c r="M20" s="262">
        <f>2/6</f>
        <v>0.33333333333333331</v>
      </c>
      <c r="N20" s="263">
        <v>1</v>
      </c>
      <c r="O20" s="324" t="s">
        <v>712</v>
      </c>
      <c r="P20" s="430" t="str">
        <f t="shared" si="0"/>
        <v/>
      </c>
      <c r="Q20" s="429">
        <f>IFERROR(IF('Medidas EE'!$L20="SI",$M20*IF($K20=Listas!$W$4,VLOOKUP('Medidas EE'!$C20,'Resumen usos'!$H$22:$J$32,2,FALSE),IF($K20=Listas!$W$3,VLOOKUP('Medidas EE'!$C20,'Resumen usos'!$H$36:$J$46,2,FALSE),IF($K20=Listas!$W$2,VLOOKUP('Medidas EE'!$C20,'Usos Electricidad'!$AI$5:$AK$15,2,FALSE),"S/I"))),"N/A"),"S/I")</f>
        <v>696557.74404761905</v>
      </c>
      <c r="R20" s="429">
        <f>IFERROR(IF('Medidas EE'!$L20="SI",$M20*IF($K20=Listas!$W$4,VLOOKUP('Medidas EE'!$C20,'Resumen usos'!$H$22:$J$32,3,FALSE),IF($K20=Listas!$W$3,VLOOKUP('Medidas EE'!$C20,'Resumen usos'!$H$36:$J$46,3,FALSE),IF($K20=Listas!$W$2,VLOOKUP('Medidas EE'!$C20,'Usos Electricidad'!$AI$5:$AK$15,3,FALSE),"S/I"))),"N/A"),"S/I")</f>
        <v>59713626.504755683</v>
      </c>
    </row>
    <row r="21" spans="1:18" ht="15" customHeight="1" x14ac:dyDescent="0.25">
      <c r="A21" s="387"/>
      <c r="B21" s="244">
        <v>8</v>
      </c>
      <c r="C21" s="245" t="s">
        <v>189</v>
      </c>
      <c r="D21" s="383" t="s">
        <v>486</v>
      </c>
      <c r="E21" s="384"/>
      <c r="F21" s="385"/>
      <c r="G21" s="383" t="s">
        <v>487</v>
      </c>
      <c r="H21" s="384"/>
      <c r="I21" s="385"/>
      <c r="J21" s="246" t="s">
        <v>481</v>
      </c>
      <c r="K21" s="289" t="s">
        <v>33</v>
      </c>
      <c r="L21" s="262" t="s">
        <v>132</v>
      </c>
      <c r="M21" s="262">
        <f>1.5245194398815%/6%</f>
        <v>0.25408657331358336</v>
      </c>
      <c r="N21" s="263">
        <v>1</v>
      </c>
      <c r="O21" s="324" t="s">
        <v>712</v>
      </c>
      <c r="P21" s="430" t="str">
        <f t="shared" si="0"/>
        <v/>
      </c>
      <c r="Q21" s="429">
        <f>IFERROR(IF('Medidas EE'!$L21="SI",$M21*IF($K21=Listas!$W$4,VLOOKUP('Medidas EE'!$C21,'Resumen usos'!$H$22:$J$32,2,FALSE),IF($K21=Listas!$W$3,VLOOKUP('Medidas EE'!$C21,'Resumen usos'!$H$36:$J$46,2,FALSE),IF($K21=Listas!$W$2,VLOOKUP('Medidas EE'!$C21,'Usos Electricidad'!$AI$5:$AK$15,2,FALSE),"S/I"))),"N/A"),"S/I")</f>
        <v>530957.91090029886</v>
      </c>
      <c r="R21" s="429">
        <f>IFERROR(IF('Medidas EE'!$L21="SI",$M21*IF($K21=Listas!$W$4,VLOOKUP('Medidas EE'!$C21,'Resumen usos'!$H$22:$J$32,3,FALSE),IF($K21=Listas!$W$3,VLOOKUP('Medidas EE'!$C21,'Resumen usos'!$H$36:$J$46,3,FALSE),IF($K21=Listas!$W$2,VLOOKUP('Medidas EE'!$C21,'Usos Electricidad'!$AI$5:$AK$15,3,FALSE),"S/I"))),"N/A"),"S/I")</f>
        <v>45517292.216161624</v>
      </c>
    </row>
    <row r="22" spans="1:18" ht="15" customHeight="1" x14ac:dyDescent="0.25">
      <c r="A22" s="387"/>
      <c r="B22" s="247">
        <v>1</v>
      </c>
      <c r="C22" s="248" t="s">
        <v>488</v>
      </c>
      <c r="D22" s="383" t="s">
        <v>489</v>
      </c>
      <c r="E22" s="384"/>
      <c r="F22" s="385"/>
      <c r="G22" s="383" t="s">
        <v>490</v>
      </c>
      <c r="H22" s="384"/>
      <c r="I22" s="385"/>
      <c r="J22" s="249" t="s">
        <v>481</v>
      </c>
      <c r="K22" s="290" t="s">
        <v>615</v>
      </c>
      <c r="L22" s="262" t="s">
        <v>132</v>
      </c>
      <c r="M22" s="264">
        <v>5.5000000000000007E-2</v>
      </c>
      <c r="N22" s="265">
        <v>1</v>
      </c>
      <c r="O22" s="324" t="s">
        <v>712</v>
      </c>
      <c r="P22" s="430" t="str">
        <f t="shared" si="0"/>
        <v/>
      </c>
      <c r="Q22" s="429">
        <f>IFERROR(IF('Medidas EE'!$L22="SI",$M22*IF($K22=Listas!$W$4,VLOOKUP('Medidas EE'!$C22,'Resumen usos'!$H$22:$J$32,2,FALSE),IF($K22=Listas!$W$3,VLOOKUP('Medidas EE'!$C22,'Resumen usos'!$H$36:$J$46,2,FALSE),IF($K22=Listas!$W$2,VLOOKUP('Medidas EE'!$C22,'Usos Electricidad'!$AI$5:$AK$15,2,FALSE),"S/I"))),"N/A"),"S/I")</f>
        <v>709.79464285714312</v>
      </c>
      <c r="R22" s="429">
        <f>IFERROR(IF('Medidas EE'!$L22="SI",$M22*IF($K22=Listas!$W$4,VLOOKUP('Medidas EE'!$C22,'Resumen usos'!$H$22:$J$32,3,FALSE),IF($K22=Listas!$W$3,VLOOKUP('Medidas EE'!$C22,'Resumen usos'!$H$36:$J$46,3,FALSE),IF($K22=Listas!$W$2,VLOOKUP('Medidas EE'!$C22,'Usos Electricidad'!$AI$5:$AK$15,3,FALSE),"S/I"))),"N/A"),"S/I")</f>
        <v>60848.382723242474</v>
      </c>
    </row>
    <row r="23" spans="1:18" ht="45" x14ac:dyDescent="0.25">
      <c r="A23" s="387"/>
      <c r="B23" s="247">
        <v>2</v>
      </c>
      <c r="C23" s="248" t="s">
        <v>488</v>
      </c>
      <c r="D23" s="383" t="s">
        <v>491</v>
      </c>
      <c r="E23" s="384"/>
      <c r="F23" s="385"/>
      <c r="G23" s="383" t="s">
        <v>492</v>
      </c>
      <c r="H23" s="384"/>
      <c r="I23" s="385"/>
      <c r="J23" s="249" t="s">
        <v>476</v>
      </c>
      <c r="K23" s="290" t="s">
        <v>615</v>
      </c>
      <c r="L23" s="262" t="s">
        <v>132</v>
      </c>
      <c r="M23" s="264">
        <v>9.4799999999999995E-2</v>
      </c>
      <c r="N23" s="265">
        <v>3</v>
      </c>
      <c r="O23" s="324" t="s">
        <v>712</v>
      </c>
      <c r="P23" s="430" t="str">
        <f t="shared" si="0"/>
        <v/>
      </c>
      <c r="Q23" s="429">
        <f>IFERROR(IF('Medidas EE'!$L23="SI",$M23*IF($K23=Listas!$W$4,VLOOKUP('Medidas EE'!$C23,'Resumen usos'!$H$22:$J$32,2,FALSE),IF($K23=Listas!$W$3,VLOOKUP('Medidas EE'!$C23,'Resumen usos'!$H$36:$J$46,2,FALSE),IF($K23=Listas!$W$2,VLOOKUP('Medidas EE'!$C23,'Usos Electricidad'!$AI$5:$AK$15,2,FALSE),"S/I"))),"N/A"),"S/I")</f>
        <v>1223.4278571428572</v>
      </c>
      <c r="R23" s="429">
        <f>IFERROR(IF('Medidas EE'!$L23="SI",$M23*IF($K23=Listas!$W$4,VLOOKUP('Medidas EE'!$C23,'Resumen usos'!$H$22:$J$32,3,FALSE),IF($K23=Listas!$W$3,VLOOKUP('Medidas EE'!$C23,'Resumen usos'!$H$36:$J$46,3,FALSE),IF($K23=Listas!$W$2,VLOOKUP('Medidas EE'!$C23,'Usos Electricidad'!$AI$5:$AK$15,3,FALSE),"S/I"))),"N/A"),"S/I")</f>
        <v>104880.48513024337</v>
      </c>
    </row>
    <row r="24" spans="1:18" ht="30" x14ac:dyDescent="0.25">
      <c r="A24" s="387"/>
      <c r="B24" s="247">
        <v>3</v>
      </c>
      <c r="C24" s="248" t="s">
        <v>488</v>
      </c>
      <c r="D24" s="383" t="s">
        <v>493</v>
      </c>
      <c r="E24" s="384"/>
      <c r="F24" s="385"/>
      <c r="G24" s="383" t="s">
        <v>494</v>
      </c>
      <c r="H24" s="384"/>
      <c r="I24" s="385"/>
      <c r="J24" s="249" t="s">
        <v>473</v>
      </c>
      <c r="K24" s="290" t="s">
        <v>615</v>
      </c>
      <c r="L24" s="262" t="s">
        <v>132</v>
      </c>
      <c r="M24" s="264">
        <v>0.28214999999999996</v>
      </c>
      <c r="N24" s="265">
        <v>2</v>
      </c>
      <c r="O24" s="324" t="s">
        <v>712</v>
      </c>
      <c r="P24" s="430" t="str">
        <f t="shared" si="0"/>
        <v/>
      </c>
      <c r="Q24" s="429">
        <f>IFERROR(IF('Medidas EE'!$L24="SI",$M24*IF($K24=Listas!$W$4,VLOOKUP('Medidas EE'!$C24,'Resumen usos'!$H$22:$J$32,2,FALSE),IF($K24=Listas!$W$3,VLOOKUP('Medidas EE'!$C24,'Resumen usos'!$H$36:$J$46,2,FALSE),IF($K24=Listas!$W$2,VLOOKUP('Medidas EE'!$C24,'Usos Electricidad'!$AI$5:$AK$15,2,FALSE),"S/I"))),"N/A"),"S/I")</f>
        <v>3641.2465178571429</v>
      </c>
      <c r="R24" s="429">
        <f>IFERROR(IF('Medidas EE'!$L24="SI",$M24*IF($K24=Listas!$W$4,VLOOKUP('Medidas EE'!$C24,'Resumen usos'!$H$22:$J$32,3,FALSE),IF($K24=Listas!$W$3,VLOOKUP('Medidas EE'!$C24,'Resumen usos'!$H$36:$J$46,3,FALSE),IF($K24=Listas!$W$2,VLOOKUP('Medidas EE'!$C24,'Usos Electricidad'!$AI$5:$AK$15,3,FALSE),"S/I"))),"N/A"),"S/I")</f>
        <v>312152.20337023376</v>
      </c>
    </row>
    <row r="25" spans="1:18" ht="15" customHeight="1" x14ac:dyDescent="0.25">
      <c r="A25" s="387"/>
      <c r="B25" s="247">
        <v>4</v>
      </c>
      <c r="C25" s="248" t="s">
        <v>488</v>
      </c>
      <c r="D25" s="383" t="s">
        <v>495</v>
      </c>
      <c r="E25" s="384"/>
      <c r="F25" s="385"/>
      <c r="G25" s="383" t="s">
        <v>496</v>
      </c>
      <c r="H25" s="384"/>
      <c r="I25" s="385"/>
      <c r="J25" s="249" t="s">
        <v>481</v>
      </c>
      <c r="K25" s="290" t="s">
        <v>615</v>
      </c>
      <c r="L25" s="262" t="s">
        <v>132</v>
      </c>
      <c r="M25" s="264">
        <v>7.8E-2</v>
      </c>
      <c r="N25" s="265">
        <v>1</v>
      </c>
      <c r="O25" s="324" t="s">
        <v>712</v>
      </c>
      <c r="P25" s="430" t="str">
        <f t="shared" si="0"/>
        <v/>
      </c>
      <c r="Q25" s="429">
        <f>IFERROR(IF('Medidas EE'!$L25="SI",$M25*IF($K25=Listas!$W$4,VLOOKUP('Medidas EE'!$C25,'Resumen usos'!$H$22:$J$32,2,FALSE),IF($K25=Listas!$W$3,VLOOKUP('Medidas EE'!$C25,'Resumen usos'!$H$36:$J$46,2,FALSE),IF($K25=Listas!$W$2,VLOOKUP('Medidas EE'!$C25,'Usos Electricidad'!$AI$5:$AK$15,2,FALSE),"S/I"))),"N/A"),"S/I")</f>
        <v>1006.6178571428572</v>
      </c>
      <c r="R25" s="429">
        <f>IFERROR(IF('Medidas EE'!$L25="SI",$M25*IF($K25=Listas!$W$4,VLOOKUP('Medidas EE'!$C25,'Resumen usos'!$H$22:$J$32,3,FALSE),IF($K25=Listas!$W$3,VLOOKUP('Medidas EE'!$C25,'Resumen usos'!$H$36:$J$46,3,FALSE),IF($K25=Listas!$W$2,VLOOKUP('Medidas EE'!$C25,'Usos Electricidad'!$AI$5:$AK$15,3,FALSE),"S/I"))),"N/A"),"S/I")</f>
        <v>86294.070043871136</v>
      </c>
    </row>
    <row r="26" spans="1:18" ht="45" x14ac:dyDescent="0.25">
      <c r="A26" s="387"/>
      <c r="B26" s="247">
        <v>5</v>
      </c>
      <c r="C26" s="248" t="s">
        <v>488</v>
      </c>
      <c r="D26" s="383" t="s">
        <v>497</v>
      </c>
      <c r="E26" s="384"/>
      <c r="F26" s="385"/>
      <c r="G26" s="383" t="s">
        <v>498</v>
      </c>
      <c r="H26" s="384"/>
      <c r="I26" s="385"/>
      <c r="J26" s="249" t="s">
        <v>476</v>
      </c>
      <c r="K26" s="290" t="s">
        <v>615</v>
      </c>
      <c r="L26" s="262" t="s">
        <v>132</v>
      </c>
      <c r="M26" s="264">
        <v>0.36115200000000003</v>
      </c>
      <c r="N26" s="265">
        <v>3</v>
      </c>
      <c r="O26" s="324" t="s">
        <v>712</v>
      </c>
      <c r="P26" s="430" t="str">
        <f t="shared" si="0"/>
        <v/>
      </c>
      <c r="Q26" s="429">
        <f>IFERROR(IF('Medidas EE'!$L26="SI",$M26*IF($K26=Listas!$W$4,VLOOKUP('Medidas EE'!$C26,'Resumen usos'!$H$22:$J$32,2,FALSE),IF($K26=Listas!$W$3,VLOOKUP('Medidas EE'!$C26,'Resumen usos'!$H$36:$J$46,2,FALSE),IF($K26=Listas!$W$2,VLOOKUP('Medidas EE'!$C26,'Usos Electricidad'!$AI$5:$AK$15,2,FALSE),"S/I"))),"N/A"),"S/I")</f>
        <v>4660.795542857144</v>
      </c>
      <c r="R26" s="429">
        <f>IFERROR(IF('Medidas EE'!$L26="SI",$M26*IF($K26=Listas!$W$4,VLOOKUP('Medidas EE'!$C26,'Resumen usos'!$H$22:$J$32,3,FALSE),IF($K26=Listas!$W$3,VLOOKUP('Medidas EE'!$C26,'Resumen usos'!$H$36:$J$46,3,FALSE),IF($K26=Listas!$W$2,VLOOKUP('Medidas EE'!$C26,'Usos Electricidad'!$AI$5:$AK$15,3,FALSE),"S/I"))),"N/A"),"S/I")</f>
        <v>399554.82031389931</v>
      </c>
    </row>
    <row r="27" spans="1:18" ht="15" customHeight="1" x14ac:dyDescent="0.25">
      <c r="A27" s="387"/>
      <c r="B27" s="247">
        <v>6</v>
      </c>
      <c r="C27" s="248" t="s">
        <v>488</v>
      </c>
      <c r="D27" s="383" t="s">
        <v>499</v>
      </c>
      <c r="E27" s="384"/>
      <c r="F27" s="385"/>
      <c r="G27" s="383" t="s">
        <v>500</v>
      </c>
      <c r="H27" s="384"/>
      <c r="I27" s="385"/>
      <c r="J27" s="249" t="s">
        <v>481</v>
      </c>
      <c r="K27" s="290" t="s">
        <v>615</v>
      </c>
      <c r="L27" s="262" t="s">
        <v>132</v>
      </c>
      <c r="M27" s="264">
        <v>0.17499999999999999</v>
      </c>
      <c r="N27" s="265">
        <v>1</v>
      </c>
      <c r="O27" s="324" t="s">
        <v>712</v>
      </c>
      <c r="P27" s="430" t="str">
        <f t="shared" si="0"/>
        <v/>
      </c>
      <c r="Q27" s="429">
        <f>IFERROR(IF('Medidas EE'!$L27="SI",$M27*IF($K27=Listas!$W$4,VLOOKUP('Medidas EE'!$C27,'Resumen usos'!$H$22:$J$32,2,FALSE),IF($K27=Listas!$W$3,VLOOKUP('Medidas EE'!$C27,'Resumen usos'!$H$36:$J$46,2,FALSE),IF($K27=Listas!$W$2,VLOOKUP('Medidas EE'!$C27,'Usos Electricidad'!$AI$5:$AK$15,2,FALSE),"S/I"))),"N/A"),"S/I")</f>
        <v>2258.4375</v>
      </c>
      <c r="R27" s="429">
        <f>IFERROR(IF('Medidas EE'!$L27="SI",$M27*IF($K27=Listas!$W$4,VLOOKUP('Medidas EE'!$C27,'Resumen usos'!$H$22:$J$32,3,FALSE),IF($K27=Listas!$W$3,VLOOKUP('Medidas EE'!$C27,'Resumen usos'!$H$36:$J$46,3,FALSE),IF($K27=Listas!$W$2,VLOOKUP('Medidas EE'!$C27,'Usos Electricidad'!$AI$5:$AK$15,3,FALSE),"S/I"))),"N/A"),"S/I")</f>
        <v>193608.49048304418</v>
      </c>
    </row>
    <row r="28" spans="1:18" ht="30" x14ac:dyDescent="0.25">
      <c r="A28" s="387"/>
      <c r="B28" s="247">
        <v>7</v>
      </c>
      <c r="C28" s="248" t="s">
        <v>488</v>
      </c>
      <c r="D28" s="383" t="s">
        <v>501</v>
      </c>
      <c r="E28" s="384"/>
      <c r="F28" s="385"/>
      <c r="G28" s="383" t="s">
        <v>502</v>
      </c>
      <c r="H28" s="384"/>
      <c r="I28" s="385"/>
      <c r="J28" s="250" t="s">
        <v>473</v>
      </c>
      <c r="K28" s="291" t="s">
        <v>615</v>
      </c>
      <c r="L28" s="262" t="s">
        <v>132</v>
      </c>
      <c r="M28" s="266">
        <v>0.115</v>
      </c>
      <c r="N28" s="267">
        <v>2</v>
      </c>
      <c r="O28" s="324" t="s">
        <v>712</v>
      </c>
      <c r="P28" s="430" t="str">
        <f t="shared" si="0"/>
        <v/>
      </c>
      <c r="Q28" s="429">
        <f>IFERROR(IF('Medidas EE'!$L28="SI",$M28*IF($K28=Listas!$W$4,VLOOKUP('Medidas EE'!$C28,'Resumen usos'!$H$22:$J$32,2,FALSE),IF($K28=Listas!$W$3,VLOOKUP('Medidas EE'!$C28,'Resumen usos'!$H$36:$J$46,2,FALSE),IF($K28=Listas!$W$2,VLOOKUP('Medidas EE'!$C28,'Usos Electricidad'!$AI$5:$AK$15,2,FALSE),"S/I"))),"N/A"),"S/I")</f>
        <v>1484.1160714285718</v>
      </c>
      <c r="R28" s="429">
        <f>IFERROR(IF('Medidas EE'!$L28="SI",$M28*IF($K28=Listas!$W$4,VLOOKUP('Medidas EE'!$C28,'Resumen usos'!$H$22:$J$32,3,FALSE),IF($K28=Listas!$W$3,VLOOKUP('Medidas EE'!$C28,'Resumen usos'!$H$36:$J$46,3,FALSE),IF($K28=Listas!$W$2,VLOOKUP('Medidas EE'!$C28,'Usos Electricidad'!$AI$5:$AK$15,3,FALSE),"S/I"))),"N/A"),"S/I")</f>
        <v>127228.43660314333</v>
      </c>
    </row>
    <row r="29" spans="1:18" ht="15" customHeight="1" x14ac:dyDescent="0.25">
      <c r="A29" s="387"/>
      <c r="B29" s="247">
        <v>8</v>
      </c>
      <c r="C29" s="248" t="s">
        <v>488</v>
      </c>
      <c r="D29" s="383" t="s">
        <v>503</v>
      </c>
      <c r="E29" s="384"/>
      <c r="F29" s="385"/>
      <c r="G29" s="383" t="s">
        <v>504</v>
      </c>
      <c r="H29" s="384"/>
      <c r="I29" s="385"/>
      <c r="J29" s="243" t="s">
        <v>481</v>
      </c>
      <c r="K29" s="291" t="s">
        <v>615</v>
      </c>
      <c r="L29" s="262" t="s">
        <v>132</v>
      </c>
      <c r="M29" s="268">
        <v>0.112123550771433</v>
      </c>
      <c r="N29" s="269">
        <v>1</v>
      </c>
      <c r="O29" s="324" t="s">
        <v>712</v>
      </c>
      <c r="P29" s="430" t="str">
        <f t="shared" si="0"/>
        <v/>
      </c>
      <c r="Q29" s="429">
        <f>IFERROR(IF('Medidas EE'!$L29="SI",$M29*IF($K29=Listas!$W$4,VLOOKUP('Medidas EE'!$C29,'Resumen usos'!$H$22:$J$32,2,FALSE),IF($K29=Listas!$W$3,VLOOKUP('Medidas EE'!$C29,'Resumen usos'!$H$36:$J$46,2,FALSE),IF($K29=Listas!$W$2,VLOOKUP('Medidas EE'!$C29,'Usos Electricidad'!$AI$5:$AK$15,2,FALSE),"S/I"))),"N/A"),"S/I")</f>
        <v>1446.9944668306186</v>
      </c>
      <c r="R29" s="429">
        <f>IFERROR(IF('Medidas EE'!$L29="SI",$M29*IF($K29=Listas!$W$4,VLOOKUP('Medidas EE'!$C29,'Resumen usos'!$H$22:$J$32,3,FALSE),IF($K29=Listas!$W$3,VLOOKUP('Medidas EE'!$C29,'Resumen usos'!$H$36:$J$46,3,FALSE),IF($K29=Listas!$W$2,VLOOKUP('Medidas EE'!$C29,'Usos Electricidad'!$AI$5:$AK$15,3,FALSE),"S/I"))),"N/A"),"S/I")</f>
        <v>124046.12235689205</v>
      </c>
    </row>
    <row r="30" spans="1:18" ht="30" x14ac:dyDescent="0.25">
      <c r="A30" s="387"/>
      <c r="B30" s="247">
        <v>9</v>
      </c>
      <c r="C30" s="248" t="s">
        <v>488</v>
      </c>
      <c r="D30" s="383" t="s">
        <v>505</v>
      </c>
      <c r="E30" s="384"/>
      <c r="F30" s="385"/>
      <c r="G30" s="383" t="s">
        <v>506</v>
      </c>
      <c r="H30" s="384"/>
      <c r="I30" s="385"/>
      <c r="J30" s="243" t="s">
        <v>473</v>
      </c>
      <c r="K30" s="291" t="s">
        <v>615</v>
      </c>
      <c r="L30" s="262" t="s">
        <v>132</v>
      </c>
      <c r="M30" s="268">
        <f>8.2%/50%</f>
        <v>0.16399999999999998</v>
      </c>
      <c r="N30" s="269">
        <v>2</v>
      </c>
      <c r="O30" s="324" t="s">
        <v>712</v>
      </c>
      <c r="P30" s="430" t="str">
        <f t="shared" si="0"/>
        <v/>
      </c>
      <c r="Q30" s="429">
        <f>IFERROR(IF('Medidas EE'!$L30="SI",$M30*IF($K30=Listas!$W$4,VLOOKUP('Medidas EE'!$C30,'Resumen usos'!$H$22:$J$32,2,FALSE),IF($K30=Listas!$W$3,VLOOKUP('Medidas EE'!$C30,'Resumen usos'!$H$36:$J$46,2,FALSE),IF($K30=Listas!$W$2,VLOOKUP('Medidas EE'!$C30,'Usos Electricidad'!$AI$5:$AK$15,2,FALSE),"S/I"))),"N/A"),"S/I")</f>
        <v>2116.4785714285713</v>
      </c>
      <c r="R30" s="429">
        <f>IFERROR(IF('Medidas EE'!$L30="SI",$M30*IF($K30=Listas!$W$4,VLOOKUP('Medidas EE'!$C30,'Resumen usos'!$H$22:$J$32,3,FALSE),IF($K30=Listas!$W$3,VLOOKUP('Medidas EE'!$C30,'Resumen usos'!$H$36:$J$46,3,FALSE),IF($K30=Listas!$W$2,VLOOKUP('Medidas EE'!$C30,'Usos Electricidad'!$AI$5:$AK$15,3,FALSE),"S/I"))),"N/A"),"S/I")</f>
        <v>181438.81393839567</v>
      </c>
    </row>
    <row r="31" spans="1:18" ht="30" x14ac:dyDescent="0.25">
      <c r="A31" s="387"/>
      <c r="B31" s="247">
        <v>10</v>
      </c>
      <c r="C31" s="248" t="s">
        <v>488</v>
      </c>
      <c r="D31" s="383" t="s">
        <v>507</v>
      </c>
      <c r="E31" s="384"/>
      <c r="F31" s="385"/>
      <c r="G31" s="383" t="s">
        <v>508</v>
      </c>
      <c r="H31" s="384"/>
      <c r="I31" s="385"/>
      <c r="J31" s="243" t="s">
        <v>473</v>
      </c>
      <c r="K31" s="291" t="s">
        <v>615</v>
      </c>
      <c r="L31" s="262" t="s">
        <v>132</v>
      </c>
      <c r="M31" s="268">
        <f>9.8%/50%</f>
        <v>0.19600000000000001</v>
      </c>
      <c r="N31" s="269">
        <v>2</v>
      </c>
      <c r="O31" s="324" t="s">
        <v>712</v>
      </c>
      <c r="P31" s="430" t="str">
        <f t="shared" si="0"/>
        <v/>
      </c>
      <c r="Q31" s="429">
        <f>IFERROR(IF('Medidas EE'!$L31="SI",$M31*IF($K31=Listas!$W$4,VLOOKUP('Medidas EE'!$C31,'Resumen usos'!$H$22:$J$32,2,FALSE),IF($K31=Listas!$W$3,VLOOKUP('Medidas EE'!$C31,'Resumen usos'!$H$36:$J$46,2,FALSE),IF($K31=Listas!$W$2,VLOOKUP('Medidas EE'!$C31,'Usos Electricidad'!$AI$5:$AK$15,2,FALSE),"S/I"))),"N/A"),"S/I")</f>
        <v>2529.4500000000007</v>
      </c>
      <c r="R31" s="429">
        <f>IFERROR(IF('Medidas EE'!$L31="SI",$M31*IF($K31=Listas!$W$4,VLOOKUP('Medidas EE'!$C31,'Resumen usos'!$H$22:$J$32,3,FALSE),IF($K31=Listas!$W$3,VLOOKUP('Medidas EE'!$C31,'Resumen usos'!$H$36:$J$46,3,FALSE),IF($K31=Listas!$W$2,VLOOKUP('Medidas EE'!$C31,'Usos Electricidad'!$AI$5:$AK$15,3,FALSE),"S/I"))),"N/A"),"S/I")</f>
        <v>216841.50934100951</v>
      </c>
    </row>
    <row r="32" spans="1:18" ht="30" x14ac:dyDescent="0.25">
      <c r="A32" s="387"/>
      <c r="B32" s="251">
        <v>1</v>
      </c>
      <c r="C32" s="245" t="s">
        <v>509</v>
      </c>
      <c r="D32" s="383" t="s">
        <v>510</v>
      </c>
      <c r="E32" s="384"/>
      <c r="F32" s="385"/>
      <c r="G32" s="383" t="s">
        <v>511</v>
      </c>
      <c r="H32" s="384"/>
      <c r="I32" s="385"/>
      <c r="J32" s="252" t="s">
        <v>473</v>
      </c>
      <c r="K32" s="292" t="s">
        <v>637</v>
      </c>
      <c r="L32" s="262" t="s">
        <v>132</v>
      </c>
      <c r="M32" s="270">
        <v>8.0079999999999998E-2</v>
      </c>
      <c r="N32" s="271">
        <v>2</v>
      </c>
      <c r="O32" s="324" t="s">
        <v>712</v>
      </c>
      <c r="P32" s="430" t="str">
        <f t="shared" si="0"/>
        <v/>
      </c>
      <c r="Q32" s="429">
        <f>IFERROR(IF('Medidas EE'!$L32="SI",$M32*IF($K32=Listas!$W$4,VLOOKUP('Medidas EE'!$C32,'Resumen usos'!$H$22:$J$32,2,FALSE),IF($K32=Listas!$W$3,VLOOKUP('Medidas EE'!$C32,'Resumen usos'!$H$36:$J$46,2,FALSE),IF($K32=Listas!$W$2,VLOOKUP('Medidas EE'!$C32,'Usos Electricidad'!$AI$5:$AK$15,2,FALSE),"S/I"))),"N/A"),"S/I")</f>
        <v>35.111075999999997</v>
      </c>
      <c r="R32" s="429">
        <f>IFERROR(IF('Medidas EE'!$L32="SI",$M32*IF($K32=Listas!$W$4,VLOOKUP('Medidas EE'!$C32,'Resumen usos'!$H$22:$J$32,3,FALSE),IF($K32=Listas!$W$3,VLOOKUP('Medidas EE'!$C32,'Resumen usos'!$H$36:$J$46,3,FALSE),IF($K32=Listas!$W$2,VLOOKUP('Medidas EE'!$C32,'Usos Electricidad'!$AI$5:$AK$15,3,FALSE),"S/I"))),"N/A"),"S/I")</f>
        <v>3185.028822505531</v>
      </c>
    </row>
    <row r="33" spans="1:18" ht="45" x14ac:dyDescent="0.25">
      <c r="A33" s="387"/>
      <c r="B33" s="251">
        <v>2</v>
      </c>
      <c r="C33" s="245" t="s">
        <v>509</v>
      </c>
      <c r="D33" s="383" t="s">
        <v>512</v>
      </c>
      <c r="E33" s="384"/>
      <c r="F33" s="385"/>
      <c r="G33" s="383" t="s">
        <v>513</v>
      </c>
      <c r="H33" s="384"/>
      <c r="I33" s="385"/>
      <c r="J33" s="246" t="s">
        <v>476</v>
      </c>
      <c r="K33" s="289" t="s">
        <v>615</v>
      </c>
      <c r="L33" s="262" t="s">
        <v>132</v>
      </c>
      <c r="M33" s="262">
        <v>0.11899999999999999</v>
      </c>
      <c r="N33" s="263">
        <v>3</v>
      </c>
      <c r="O33" s="324" t="s">
        <v>712</v>
      </c>
      <c r="P33" s="430" t="str">
        <f t="shared" si="0"/>
        <v/>
      </c>
      <c r="Q33" s="429">
        <f>IFERROR(IF('Medidas EE'!$L33="SI",$M33*IF($K33=Listas!$W$4,VLOOKUP('Medidas EE'!$C33,'Resumen usos'!$H$22:$J$32,2,FALSE),IF($K33=Listas!$W$3,VLOOKUP('Medidas EE'!$C33,'Resumen usos'!$H$36:$J$46,2,FALSE),IF($K33=Listas!$W$2,VLOOKUP('Medidas EE'!$C33,'Usos Electricidad'!$AI$5:$AK$15,2,FALSE),"S/I"))),"N/A"),"S/I")</f>
        <v>2335.6155500000004</v>
      </c>
      <c r="R33" s="429">
        <f>IFERROR(IF('Medidas EE'!$L33="SI",$M33*IF($K33=Listas!$W$4,VLOOKUP('Medidas EE'!$C33,'Resumen usos'!$H$22:$J$32,3,FALSE),IF($K33=Listas!$W$3,VLOOKUP('Medidas EE'!$C33,'Resumen usos'!$H$36:$J$46,3,FALSE),IF($K33=Listas!$W$2,VLOOKUP('Medidas EE'!$C33,'Usos Electricidad'!$AI$5:$AK$15,3,FALSE),"S/I"))),"N/A"),"S/I")</f>
        <v>200484.87074368462</v>
      </c>
    </row>
    <row r="34" spans="1:18" ht="30" x14ac:dyDescent="0.25">
      <c r="A34" s="387"/>
      <c r="B34" s="251">
        <v>3</v>
      </c>
      <c r="C34" s="245" t="s">
        <v>509</v>
      </c>
      <c r="D34" s="383" t="s">
        <v>505</v>
      </c>
      <c r="E34" s="384"/>
      <c r="F34" s="385"/>
      <c r="G34" s="383" t="s">
        <v>506</v>
      </c>
      <c r="H34" s="384"/>
      <c r="I34" s="385"/>
      <c r="J34" s="246" t="s">
        <v>473</v>
      </c>
      <c r="K34" s="289" t="s">
        <v>615</v>
      </c>
      <c r="L34" s="262" t="s">
        <v>132</v>
      </c>
      <c r="M34" s="262">
        <f>8.2%/50%</f>
        <v>0.16399999999999998</v>
      </c>
      <c r="N34" s="263">
        <v>2</v>
      </c>
      <c r="O34" s="324" t="s">
        <v>712</v>
      </c>
      <c r="P34" s="430" t="str">
        <f t="shared" si="0"/>
        <v/>
      </c>
      <c r="Q34" s="429">
        <f>IFERROR(IF('Medidas EE'!$L34="SI",$M34*IF($K34=Listas!$W$4,VLOOKUP('Medidas EE'!$C34,'Resumen usos'!$H$22:$J$32,2,FALSE),IF($K34=Listas!$W$3,VLOOKUP('Medidas EE'!$C34,'Resumen usos'!$H$36:$J$46,2,FALSE),IF($K34=Listas!$W$2,VLOOKUP('Medidas EE'!$C34,'Usos Electricidad'!$AI$5:$AK$15,2,FALSE),"S/I"))),"N/A"),"S/I")</f>
        <v>3218.8315142857145</v>
      </c>
      <c r="R34" s="429">
        <f>IFERROR(IF('Medidas EE'!$L34="SI",$M34*IF($K34=Listas!$W$4,VLOOKUP('Medidas EE'!$C34,'Resumen usos'!$H$22:$J$32,3,FALSE),IF($K34=Listas!$W$3,VLOOKUP('Medidas EE'!$C34,'Resumen usos'!$H$36:$J$46,3,FALSE),IF($K34=Listas!$W$2,VLOOKUP('Medidas EE'!$C34,'Usos Electricidad'!$AI$5:$AK$15,3,FALSE),"S/I"))),"N/A"),"S/I")</f>
        <v>276298.47732743091</v>
      </c>
    </row>
    <row r="35" spans="1:18" ht="30" x14ac:dyDescent="0.25">
      <c r="A35" s="387"/>
      <c r="B35" s="251">
        <v>4</v>
      </c>
      <c r="C35" s="245" t="s">
        <v>509</v>
      </c>
      <c r="D35" s="383" t="s">
        <v>507</v>
      </c>
      <c r="E35" s="384"/>
      <c r="F35" s="385"/>
      <c r="G35" s="383" t="s">
        <v>508</v>
      </c>
      <c r="H35" s="384"/>
      <c r="I35" s="385"/>
      <c r="J35" s="246" t="s">
        <v>473</v>
      </c>
      <c r="K35" s="289" t="s">
        <v>615</v>
      </c>
      <c r="L35" s="262" t="s">
        <v>132</v>
      </c>
      <c r="M35" s="272">
        <f>9.8%/50%</f>
        <v>0.19600000000000001</v>
      </c>
      <c r="N35" s="263">
        <v>2</v>
      </c>
      <c r="O35" s="324" t="s">
        <v>712</v>
      </c>
      <c r="P35" s="430" t="str">
        <f t="shared" si="0"/>
        <v/>
      </c>
      <c r="Q35" s="429">
        <f>IFERROR(IF('Medidas EE'!$L35="SI",$M35*IF($K35=Listas!$W$4,VLOOKUP('Medidas EE'!$C35,'Resumen usos'!$H$22:$J$32,2,FALSE),IF($K35=Listas!$W$3,VLOOKUP('Medidas EE'!$C35,'Resumen usos'!$H$36:$J$46,2,FALSE),IF($K35=Listas!$W$2,VLOOKUP('Medidas EE'!$C35,'Usos Electricidad'!$AI$5:$AK$15,2,FALSE),"S/I"))),"N/A"),"S/I")</f>
        <v>3846.8962000000006</v>
      </c>
      <c r="R35" s="429">
        <f>IFERROR(IF('Medidas EE'!$L35="SI",$M35*IF($K35=Listas!$W$4,VLOOKUP('Medidas EE'!$C35,'Resumen usos'!$H$22:$J$32,3,FALSE),IF($K35=Listas!$W$3,VLOOKUP('Medidas EE'!$C35,'Resumen usos'!$H$36:$J$46,3,FALSE),IF($K35=Listas!$W$2,VLOOKUP('Medidas EE'!$C35,'Usos Electricidad'!$AI$5:$AK$15,3,FALSE),"S/I"))),"N/A"),"S/I")</f>
        <v>330210.3753425394</v>
      </c>
    </row>
    <row r="36" spans="1:18" ht="30" x14ac:dyDescent="0.25">
      <c r="A36" s="387"/>
      <c r="B36" s="251">
        <v>5</v>
      </c>
      <c r="C36" s="245" t="s">
        <v>509</v>
      </c>
      <c r="D36" s="383" t="s">
        <v>514</v>
      </c>
      <c r="E36" s="384"/>
      <c r="F36" s="385"/>
      <c r="G36" s="383" t="s">
        <v>515</v>
      </c>
      <c r="H36" s="384"/>
      <c r="I36" s="385"/>
      <c r="J36" s="246" t="s">
        <v>473</v>
      </c>
      <c r="K36" s="289" t="s">
        <v>615</v>
      </c>
      <c r="L36" s="262" t="s">
        <v>132</v>
      </c>
      <c r="M36" s="262">
        <v>5.5199999999999999E-2</v>
      </c>
      <c r="N36" s="263">
        <v>2</v>
      </c>
      <c r="O36" s="324" t="s">
        <v>712</v>
      </c>
      <c r="P36" s="430" t="str">
        <f t="shared" si="0"/>
        <v/>
      </c>
      <c r="Q36" s="429">
        <f>IFERROR(IF('Medidas EE'!$L36="SI",$M36*IF($K36=Listas!$W$4,VLOOKUP('Medidas EE'!$C36,'Resumen usos'!$H$22:$J$32,2,FALSE),IF($K36=Listas!$W$3,VLOOKUP('Medidas EE'!$C36,'Resumen usos'!$H$36:$J$46,2,FALSE),IF($K36=Listas!$W$2,VLOOKUP('Medidas EE'!$C36,'Usos Electricidad'!$AI$5:$AK$15,2,FALSE),"S/I"))),"N/A"),"S/I")</f>
        <v>1083.411582857143</v>
      </c>
      <c r="R36" s="429">
        <f>IFERROR(IF('Medidas EE'!$L36="SI",$M36*IF($K36=Listas!$W$4,VLOOKUP('Medidas EE'!$C36,'Resumen usos'!$H$22:$J$32,3,FALSE),IF($K36=Listas!$W$3,VLOOKUP('Medidas EE'!$C36,'Resumen usos'!$H$36:$J$46,3,FALSE),IF($K36=Listas!$W$2,VLOOKUP('Medidas EE'!$C36,'Usos Electricidad'!$AI$5:$AK$15,3,FALSE),"S/I"))),"N/A"),"S/I")</f>
        <v>92998.024076062109</v>
      </c>
    </row>
    <row r="37" spans="1:18" ht="45" x14ac:dyDescent="0.25">
      <c r="A37" s="387"/>
      <c r="B37" s="253">
        <v>1</v>
      </c>
      <c r="C37" s="248" t="s">
        <v>516</v>
      </c>
      <c r="D37" s="383" t="s">
        <v>517</v>
      </c>
      <c r="E37" s="384"/>
      <c r="F37" s="385"/>
      <c r="G37" s="383" t="s">
        <v>518</v>
      </c>
      <c r="H37" s="384"/>
      <c r="I37" s="385"/>
      <c r="J37" s="249" t="s">
        <v>476</v>
      </c>
      <c r="K37" s="290" t="s">
        <v>33</v>
      </c>
      <c r="L37" s="262" t="s">
        <v>132</v>
      </c>
      <c r="M37" s="264">
        <v>0.37</v>
      </c>
      <c r="N37" s="265">
        <v>3</v>
      </c>
      <c r="O37" s="324" t="s">
        <v>712</v>
      </c>
      <c r="P37" s="430" t="str">
        <f t="shared" si="0"/>
        <v/>
      </c>
      <c r="Q37" s="429">
        <f>IFERROR(IF('Medidas EE'!$L37="SI",$M37*IF($K37=Listas!$W$4,VLOOKUP('Medidas EE'!$C37,'Resumen usos'!$H$22:$J$32,2,FALSE),IF($K37=Listas!$W$3,VLOOKUP('Medidas EE'!$C37,'Resumen usos'!$H$36:$J$46,2,FALSE),IF($K37=Listas!$W$2,VLOOKUP('Medidas EE'!$C37,'Usos Electricidad'!$AI$5:$AK$15,2,FALSE),"S/I"))),"N/A"),"S/I")</f>
        <v>0</v>
      </c>
      <c r="R37" s="429">
        <f>IFERROR(IF('Medidas EE'!$L37="SI",$M37*IF($K37=Listas!$W$4,VLOOKUP('Medidas EE'!$C37,'Resumen usos'!$H$22:$J$32,3,FALSE),IF($K37=Listas!$W$3,VLOOKUP('Medidas EE'!$C37,'Resumen usos'!$H$36:$J$46,3,FALSE),IF($K37=Listas!$W$2,VLOOKUP('Medidas EE'!$C37,'Usos Electricidad'!$AI$5:$AK$15,3,FALSE),"S/I"))),"N/A"),"S/I")</f>
        <v>0</v>
      </c>
    </row>
    <row r="38" spans="1:18" ht="30" x14ac:dyDescent="0.25">
      <c r="A38" s="387"/>
      <c r="B38" s="253">
        <v>2</v>
      </c>
      <c r="C38" s="248" t="s">
        <v>516</v>
      </c>
      <c r="D38" s="383" t="s">
        <v>519</v>
      </c>
      <c r="E38" s="384"/>
      <c r="F38" s="385"/>
      <c r="G38" s="383" t="s">
        <v>520</v>
      </c>
      <c r="H38" s="384"/>
      <c r="I38" s="385"/>
      <c r="J38" s="249" t="s">
        <v>473</v>
      </c>
      <c r="K38" s="290" t="s">
        <v>615</v>
      </c>
      <c r="L38" s="262" t="s">
        <v>132</v>
      </c>
      <c r="M38" s="264">
        <v>0.15</v>
      </c>
      <c r="N38" s="265">
        <v>2</v>
      </c>
      <c r="O38" s="324" t="s">
        <v>712</v>
      </c>
      <c r="P38" s="430" t="str">
        <f t="shared" si="0"/>
        <v/>
      </c>
      <c r="Q38" s="429">
        <f>IFERROR(IF('Medidas EE'!$L38="SI",$M38*IF($K38=Listas!$W$4,VLOOKUP('Medidas EE'!$C38,'Resumen usos'!$H$22:$J$32,2,FALSE),IF($K38=Listas!$W$3,VLOOKUP('Medidas EE'!$C38,'Resumen usos'!$H$36:$J$46,2,FALSE),IF($K38=Listas!$W$2,VLOOKUP('Medidas EE'!$C38,'Usos Electricidad'!$AI$5:$AK$15,2,FALSE),"S/I"))),"N/A"),"S/I")</f>
        <v>4384.5</v>
      </c>
      <c r="R38" s="429">
        <f>IFERROR(IF('Medidas EE'!$L38="SI",$M38*IF($K38=Listas!$W$4,VLOOKUP('Medidas EE'!$C38,'Resumen usos'!$H$22:$J$32,3,FALSE),IF($K38=Listas!$W$3,VLOOKUP('Medidas EE'!$C38,'Resumen usos'!$H$36:$J$46,3,FALSE),IF($K38=Listas!$W$2,VLOOKUP('Medidas EE'!$C38,'Usos Electricidad'!$AI$5:$AK$15,3,FALSE),"S/I"))),"N/A"),"S/I")</f>
        <v>397730.87194125017</v>
      </c>
    </row>
    <row r="39" spans="1:18" ht="45" x14ac:dyDescent="0.25">
      <c r="A39" s="387"/>
      <c r="B39" s="253">
        <v>3</v>
      </c>
      <c r="C39" s="248" t="s">
        <v>516</v>
      </c>
      <c r="D39" s="383" t="s">
        <v>521</v>
      </c>
      <c r="E39" s="384"/>
      <c r="F39" s="385"/>
      <c r="G39" s="383" t="s">
        <v>522</v>
      </c>
      <c r="H39" s="384"/>
      <c r="I39" s="385"/>
      <c r="J39" s="249" t="s">
        <v>476</v>
      </c>
      <c r="K39" s="290" t="s">
        <v>615</v>
      </c>
      <c r="L39" s="262" t="s">
        <v>132</v>
      </c>
      <c r="M39" s="264">
        <v>0.22</v>
      </c>
      <c r="N39" s="265">
        <v>3</v>
      </c>
      <c r="O39" s="324" t="s">
        <v>712</v>
      </c>
      <c r="P39" s="430" t="str">
        <f t="shared" si="0"/>
        <v/>
      </c>
      <c r="Q39" s="429">
        <f>IFERROR(IF('Medidas EE'!$L39="SI",$M39*IF($K39=Listas!$W$4,VLOOKUP('Medidas EE'!$C39,'Resumen usos'!$H$22:$J$32,2,FALSE),IF($K39=Listas!$W$3,VLOOKUP('Medidas EE'!$C39,'Resumen usos'!$H$36:$J$46,2,FALSE),IF($K39=Listas!$W$2,VLOOKUP('Medidas EE'!$C39,'Usos Electricidad'!$AI$5:$AK$15,2,FALSE),"S/I"))),"N/A"),"S/I")</f>
        <v>6430.6</v>
      </c>
      <c r="R39" s="429">
        <f>IFERROR(IF('Medidas EE'!$L39="SI",$M39*IF($K39=Listas!$W$4,VLOOKUP('Medidas EE'!$C39,'Resumen usos'!$H$22:$J$32,3,FALSE),IF($K39=Listas!$W$3,VLOOKUP('Medidas EE'!$C39,'Resumen usos'!$H$36:$J$46,3,FALSE),IF($K39=Listas!$W$2,VLOOKUP('Medidas EE'!$C39,'Usos Electricidad'!$AI$5:$AK$15,3,FALSE),"S/I"))),"N/A"),"S/I")</f>
        <v>583338.61218050029</v>
      </c>
    </row>
    <row r="40" spans="1:18" ht="45" x14ac:dyDescent="0.25">
      <c r="A40" s="387"/>
      <c r="B40" s="253">
        <v>4</v>
      </c>
      <c r="C40" s="248" t="s">
        <v>516</v>
      </c>
      <c r="D40" s="383" t="s">
        <v>523</v>
      </c>
      <c r="E40" s="384"/>
      <c r="F40" s="385"/>
      <c r="G40" s="383" t="s">
        <v>524</v>
      </c>
      <c r="H40" s="384"/>
      <c r="I40" s="385"/>
      <c r="J40" s="249" t="s">
        <v>476</v>
      </c>
      <c r="K40" s="290" t="s">
        <v>615</v>
      </c>
      <c r="L40" s="262" t="s">
        <v>132</v>
      </c>
      <c r="M40" s="264">
        <v>0.255</v>
      </c>
      <c r="N40" s="265">
        <v>3</v>
      </c>
      <c r="O40" s="324" t="s">
        <v>712</v>
      </c>
      <c r="P40" s="430" t="str">
        <f t="shared" si="0"/>
        <v/>
      </c>
      <c r="Q40" s="429">
        <f>IFERROR(IF('Medidas EE'!$L40="SI",$M40*IF($K40=Listas!$W$4,VLOOKUP('Medidas EE'!$C40,'Resumen usos'!$H$22:$J$32,2,FALSE),IF($K40=Listas!$W$3,VLOOKUP('Medidas EE'!$C40,'Resumen usos'!$H$36:$J$46,2,FALSE),IF($K40=Listas!$W$2,VLOOKUP('Medidas EE'!$C40,'Usos Electricidad'!$AI$5:$AK$15,2,FALSE),"S/I"))),"N/A"),"S/I")</f>
        <v>7453.6500000000005</v>
      </c>
      <c r="R40" s="429">
        <f>IFERROR(IF('Medidas EE'!$L40="SI",$M40*IF($K40=Listas!$W$4,VLOOKUP('Medidas EE'!$C40,'Resumen usos'!$H$22:$J$32,3,FALSE),IF($K40=Listas!$W$3,VLOOKUP('Medidas EE'!$C40,'Resumen usos'!$H$36:$J$46,3,FALSE),IF($K40=Listas!$W$2,VLOOKUP('Medidas EE'!$C40,'Usos Electricidad'!$AI$5:$AK$15,3,FALSE),"S/I"))),"N/A"),"S/I")</f>
        <v>676142.4823001253</v>
      </c>
    </row>
    <row r="41" spans="1:18" ht="30" x14ac:dyDescent="0.25">
      <c r="A41" s="387"/>
      <c r="B41" s="253">
        <v>5</v>
      </c>
      <c r="C41" s="248" t="s">
        <v>516</v>
      </c>
      <c r="D41" s="383" t="s">
        <v>525</v>
      </c>
      <c r="E41" s="384"/>
      <c r="F41" s="385"/>
      <c r="G41" s="383" t="s">
        <v>526</v>
      </c>
      <c r="H41" s="384"/>
      <c r="I41" s="385"/>
      <c r="J41" s="249" t="s">
        <v>473</v>
      </c>
      <c r="K41" s="290" t="s">
        <v>615</v>
      </c>
      <c r="L41" s="262" t="s">
        <v>132</v>
      </c>
      <c r="M41" s="264">
        <v>0.01</v>
      </c>
      <c r="N41" s="265">
        <v>2</v>
      </c>
      <c r="O41" s="324" t="s">
        <v>712</v>
      </c>
      <c r="P41" s="430" t="str">
        <f t="shared" si="0"/>
        <v/>
      </c>
      <c r="Q41" s="429">
        <f>IFERROR(IF('Medidas EE'!$L41="SI",$M41*IF($K41=Listas!$W$4,VLOOKUP('Medidas EE'!$C41,'Resumen usos'!$H$22:$J$32,2,FALSE),IF($K41=Listas!$W$3,VLOOKUP('Medidas EE'!$C41,'Resumen usos'!$H$36:$J$46,2,FALSE),IF($K41=Listas!$W$2,VLOOKUP('Medidas EE'!$C41,'Usos Electricidad'!$AI$5:$AK$15,2,FALSE),"S/I"))),"N/A"),"S/I")</f>
        <v>292.3</v>
      </c>
      <c r="R41" s="429">
        <f>IFERROR(IF('Medidas EE'!$L41="SI",$M41*IF($K41=Listas!$W$4,VLOOKUP('Medidas EE'!$C41,'Resumen usos'!$H$22:$J$32,3,FALSE),IF($K41=Listas!$W$3,VLOOKUP('Medidas EE'!$C41,'Resumen usos'!$H$36:$J$46,3,FALSE),IF($K41=Listas!$W$2,VLOOKUP('Medidas EE'!$C41,'Usos Electricidad'!$AI$5:$AK$15,3,FALSE),"S/I"))),"N/A"),"S/I")</f>
        <v>26515.391462750013</v>
      </c>
    </row>
    <row r="42" spans="1:18" ht="45" x14ac:dyDescent="0.25">
      <c r="A42" s="387"/>
      <c r="B42" s="251">
        <v>1</v>
      </c>
      <c r="C42" s="288" t="s">
        <v>631</v>
      </c>
      <c r="D42" s="383" t="s">
        <v>527</v>
      </c>
      <c r="E42" s="384"/>
      <c r="F42" s="385"/>
      <c r="G42" s="383" t="s">
        <v>528</v>
      </c>
      <c r="H42" s="384"/>
      <c r="I42" s="385"/>
      <c r="J42" s="246" t="s">
        <v>476</v>
      </c>
      <c r="K42" s="289" t="s">
        <v>33</v>
      </c>
      <c r="L42" s="262" t="s">
        <v>132</v>
      </c>
      <c r="M42" s="273">
        <v>0.14369999999999999</v>
      </c>
      <c r="N42" s="274">
        <v>3</v>
      </c>
      <c r="O42" s="324" t="s">
        <v>712</v>
      </c>
      <c r="P42" s="430" t="str">
        <f t="shared" si="0"/>
        <v/>
      </c>
      <c r="Q42" s="429">
        <f>IFERROR(IF('Medidas EE'!$L42="SI",$M42*IF($K42=Listas!$W$4,VLOOKUP('Medidas EE'!$C42,'Resumen usos'!$H$22:$J$32,2,FALSE),IF($K42=Listas!$W$3,VLOOKUP('Medidas EE'!$C42,'Resumen usos'!$H$36:$J$46,2,FALSE),IF($K42=Listas!$W$2,VLOOKUP('Medidas EE'!$C42,'Usos Electricidad'!$AI$5:$AK$15,2,FALSE),"S/I"))),"N/A"),"S/I")</f>
        <v>1742.1058928571429</v>
      </c>
      <c r="R42" s="429">
        <f>IFERROR(IF('Medidas EE'!$L42="SI",$M42*IF($K42=Listas!$W$4,VLOOKUP('Medidas EE'!$C42,'Resumen usos'!$H$22:$J$32,3,FALSE),IF($K42=Listas!$W$3,VLOOKUP('Medidas EE'!$C42,'Resumen usos'!$H$36:$J$46,3,FALSE),IF($K42=Listas!$W$2,VLOOKUP('Medidas EE'!$C42,'Usos Electricidad'!$AI$5:$AK$15,3,FALSE),"S/I"))),"N/A"),"S/I")</f>
        <v>149345.06364585576</v>
      </c>
    </row>
    <row r="43" spans="1:18" ht="15" customHeight="1" x14ac:dyDescent="0.25">
      <c r="A43" s="387"/>
      <c r="B43" s="251">
        <v>2</v>
      </c>
      <c r="C43" s="288" t="s">
        <v>631</v>
      </c>
      <c r="D43" s="383" t="s">
        <v>529</v>
      </c>
      <c r="E43" s="384"/>
      <c r="F43" s="385"/>
      <c r="G43" s="383" t="s">
        <v>530</v>
      </c>
      <c r="H43" s="384"/>
      <c r="I43" s="385"/>
      <c r="J43" s="246" t="s">
        <v>481</v>
      </c>
      <c r="K43" s="289" t="s">
        <v>33</v>
      </c>
      <c r="L43" s="262" t="s">
        <v>132</v>
      </c>
      <c r="M43" s="273">
        <v>0.12502000000000002</v>
      </c>
      <c r="N43" s="274">
        <v>1</v>
      </c>
      <c r="O43" s="324" t="s">
        <v>712</v>
      </c>
      <c r="P43" s="430" t="str">
        <f t="shared" si="0"/>
        <v/>
      </c>
      <c r="Q43" s="429">
        <f>IFERROR(IF('Medidas EE'!$L43="SI",$M43*IF($K43=Listas!$W$4,VLOOKUP('Medidas EE'!$C43,'Resumen usos'!$H$22:$J$32,2,FALSE),IF($K43=Listas!$W$3,VLOOKUP('Medidas EE'!$C43,'Resumen usos'!$H$36:$J$46,2,FALSE),IF($K43=Listas!$W$2,VLOOKUP('Medidas EE'!$C43,'Usos Electricidad'!$AI$5:$AK$15,2,FALSE),"S/I"))),"N/A"),"S/I")</f>
        <v>1515.6442500000003</v>
      </c>
      <c r="R43" s="429">
        <f>IFERROR(IF('Medidas EE'!$L43="SI",$M43*IF($K43=Listas!$W$4,VLOOKUP('Medidas EE'!$C43,'Resumen usos'!$H$22:$J$32,3,FALSE),IF($K43=Listas!$W$3,VLOOKUP('Medidas EE'!$C43,'Resumen usos'!$H$36:$J$46,3,FALSE),IF($K43=Listas!$W$2,VLOOKUP('Medidas EE'!$C43,'Usos Electricidad'!$AI$5:$AK$15,3,FALSE),"S/I"))),"N/A"),"S/I")</f>
        <v>129931.24465556638</v>
      </c>
    </row>
    <row r="44" spans="1:18" ht="30" x14ac:dyDescent="0.25">
      <c r="A44" s="388"/>
      <c r="B44" s="251">
        <v>3</v>
      </c>
      <c r="C44" s="288" t="s">
        <v>631</v>
      </c>
      <c r="D44" s="383" t="s">
        <v>531</v>
      </c>
      <c r="E44" s="384"/>
      <c r="F44" s="385"/>
      <c r="G44" s="383" t="s">
        <v>532</v>
      </c>
      <c r="H44" s="384"/>
      <c r="I44" s="385"/>
      <c r="J44" s="246" t="s">
        <v>473</v>
      </c>
      <c r="K44" s="289" t="s">
        <v>33</v>
      </c>
      <c r="L44" s="262" t="s">
        <v>132</v>
      </c>
      <c r="M44" s="273">
        <v>0.20662499999999998</v>
      </c>
      <c r="N44" s="274">
        <v>2</v>
      </c>
      <c r="O44" s="324" t="s">
        <v>712</v>
      </c>
      <c r="P44" s="430" t="str">
        <f t="shared" si="0"/>
        <v/>
      </c>
      <c r="Q44" s="429">
        <f>IFERROR(IF('Medidas EE'!$L44="SI",$M44*IF($K44=Listas!$W$4,VLOOKUP('Medidas EE'!$C44,'Resumen usos'!$H$22:$J$32,2,FALSE),IF($K44=Listas!$W$3,VLOOKUP('Medidas EE'!$C44,'Resumen usos'!$H$36:$J$46,2,FALSE),IF($K44=Listas!$W$2,VLOOKUP('Medidas EE'!$C44,'Usos Electricidad'!$AI$5:$AK$15,2,FALSE),"S/I"))),"N/A"),"S/I")</f>
        <v>2504.9591517857143</v>
      </c>
      <c r="R44" s="429">
        <f>IFERROR(IF('Medidas EE'!$L44="SI",$M44*IF($K44=Listas!$W$4,VLOOKUP('Medidas EE'!$C44,'Resumen usos'!$H$22:$J$32,3,FALSE),IF($K44=Listas!$W$3,VLOOKUP('Medidas EE'!$C44,'Resumen usos'!$H$36:$J$46,3,FALSE),IF($K44=Listas!$W$2,VLOOKUP('Medidas EE'!$C44,'Usos Electricidad'!$AI$5:$AK$15,3,FALSE),"S/I"))),"N/A"),"S/I")</f>
        <v>214741.98869745957</v>
      </c>
    </row>
    <row r="45" spans="1:18" ht="30" x14ac:dyDescent="0.25">
      <c r="A45" s="389" t="s">
        <v>533</v>
      </c>
      <c r="B45" s="254">
        <v>1</v>
      </c>
      <c r="C45" s="255" t="s">
        <v>534</v>
      </c>
      <c r="D45" s="383" t="s">
        <v>535</v>
      </c>
      <c r="E45" s="384"/>
      <c r="F45" s="385"/>
      <c r="G45" s="383" t="s">
        <v>536</v>
      </c>
      <c r="H45" s="384"/>
      <c r="I45" s="385"/>
      <c r="J45" s="256" t="s">
        <v>473</v>
      </c>
      <c r="K45" s="293" t="s">
        <v>33</v>
      </c>
      <c r="L45" s="262" t="s">
        <v>132</v>
      </c>
      <c r="M45" s="275">
        <v>0.01</v>
      </c>
      <c r="N45" s="276">
        <v>2</v>
      </c>
      <c r="O45" s="324">
        <v>126138.8650116803</v>
      </c>
      <c r="P45" s="430">
        <f t="shared" si="0"/>
        <v>0.86</v>
      </c>
      <c r="Q45" s="429">
        <f>IFERROR(IF('Medidas EE'!$L45="SI",$M45*IF($K45=Listas!$W$4,VLOOKUP('Medidas EE'!$C45,'Resumen usos'!$H$22:$J$32,2,FALSE),IF($K45=Listas!$W$3,VLOOKUP('Medidas EE'!$C45,'Resumen usos'!$H$36:$J$46,2,FALSE),IF($K45=Listas!$W$2,VLOOKUP('Medidas EE'!$C45,'Usos Electricidad'!$AI$5:$AK$15,2,FALSE),"S/I"))),"N/A"),"S/I")</f>
        <v>1710.9375</v>
      </c>
      <c r="R45" s="429">
        <f>IFERROR(IF('Medidas EE'!$L45="SI",$M45*IF($K45=Listas!$W$4,VLOOKUP('Medidas EE'!$C45,'Resumen usos'!$H$22:$J$32,3,FALSE),IF($K45=Listas!$W$3,VLOOKUP('Medidas EE'!$C45,'Resumen usos'!$H$36:$J$46,3,FALSE),IF($K45=Listas!$W$2,VLOOKUP('Medidas EE'!$C45,'Usos Electricidad'!$AI$5:$AK$15,3,FALSE),"S/I"))),"N/A"),"S/I")</f>
        <v>146673.09885079105</v>
      </c>
    </row>
    <row r="46" spans="1:18" ht="45" x14ac:dyDescent="0.25">
      <c r="A46" s="390"/>
      <c r="B46" s="254">
        <v>2</v>
      </c>
      <c r="C46" s="255" t="s">
        <v>534</v>
      </c>
      <c r="D46" s="383" t="s">
        <v>537</v>
      </c>
      <c r="E46" s="384"/>
      <c r="F46" s="385"/>
      <c r="G46" s="383" t="s">
        <v>538</v>
      </c>
      <c r="H46" s="384"/>
      <c r="I46" s="385"/>
      <c r="J46" s="256" t="s">
        <v>476</v>
      </c>
      <c r="K46" s="293" t="s">
        <v>33</v>
      </c>
      <c r="L46" s="262" t="s">
        <v>132</v>
      </c>
      <c r="M46" s="275">
        <v>3.0361892636972695E-2</v>
      </c>
      <c r="N46" s="276">
        <v>3</v>
      </c>
      <c r="O46" s="324">
        <v>436420.74224390043</v>
      </c>
      <c r="P46" s="430">
        <f t="shared" si="0"/>
        <v>0.97999999999999987</v>
      </c>
      <c r="Q46" s="429">
        <f>IFERROR(IF('Medidas EE'!$L46="SI",$M46*IF($K46=Listas!$W$4,VLOOKUP('Medidas EE'!$C46,'Resumen usos'!$H$22:$J$32,2,FALSE),IF($K46=Listas!$W$3,VLOOKUP('Medidas EE'!$C46,'Resumen usos'!$H$36:$J$46,2,FALSE),IF($K46=Listas!$W$2,VLOOKUP('Medidas EE'!$C46,'Usos Electricidad'!$AI$5:$AK$15,2,FALSE),"S/I"))),"N/A"),"S/I")</f>
        <v>5194.7300683570465</v>
      </c>
      <c r="R46" s="429">
        <f>IFERROR(IF('Medidas EE'!$L46="SI",$M46*IF($K46=Listas!$W$4,VLOOKUP('Medidas EE'!$C46,'Resumen usos'!$H$22:$J$32,3,FALSE),IF($K46=Listas!$W$3,VLOOKUP('Medidas EE'!$C46,'Resumen usos'!$H$36:$J$46,3,FALSE),IF($K46=Listas!$W$2,VLOOKUP('Medidas EE'!$C46,'Usos Electricidad'!$AI$5:$AK$15,3,FALSE),"S/I"))),"N/A"),"S/I")</f>
        <v>445327.28800398007</v>
      </c>
    </row>
    <row r="47" spans="1:18" ht="45" x14ac:dyDescent="0.25">
      <c r="A47" s="390"/>
      <c r="B47" s="254">
        <v>3</v>
      </c>
      <c r="C47" s="255" t="s">
        <v>534</v>
      </c>
      <c r="D47" s="383" t="s">
        <v>539</v>
      </c>
      <c r="E47" s="384"/>
      <c r="F47" s="385"/>
      <c r="G47" s="383" t="s">
        <v>540</v>
      </c>
      <c r="H47" s="384"/>
      <c r="I47" s="385"/>
      <c r="J47" s="256" t="s">
        <v>476</v>
      </c>
      <c r="K47" s="293" t="s">
        <v>33</v>
      </c>
      <c r="L47" s="262" t="s">
        <v>132</v>
      </c>
      <c r="M47" s="275">
        <v>0.06</v>
      </c>
      <c r="N47" s="276">
        <v>3</v>
      </c>
      <c r="O47" s="324">
        <v>2420500.8013650887</v>
      </c>
      <c r="P47" s="430">
        <f t="shared" si="0"/>
        <v>2.750448469340014</v>
      </c>
      <c r="Q47" s="429">
        <f>IFERROR(IF('Medidas EE'!$L47="SI",$M47*IF($K47=Listas!$W$4,VLOOKUP('Medidas EE'!$C47,'Resumen usos'!$H$22:$J$32,2,FALSE),IF($K47=Listas!$W$3,VLOOKUP('Medidas EE'!$C47,'Resumen usos'!$H$36:$J$46,2,FALSE),IF($K47=Listas!$W$2,VLOOKUP('Medidas EE'!$C47,'Usos Electricidad'!$AI$5:$AK$15,2,FALSE),"S/I"))),"N/A"),"S/I")</f>
        <v>10265.625</v>
      </c>
      <c r="R47" s="429">
        <f>IFERROR(IF('Medidas EE'!$L47="SI",$M47*IF($K47=Listas!$W$4,VLOOKUP('Medidas EE'!$C47,'Resumen usos'!$H$22:$J$32,3,FALSE),IF($K47=Listas!$W$3,VLOOKUP('Medidas EE'!$C47,'Resumen usos'!$H$36:$J$46,3,FALSE),IF($K47=Listas!$W$2,VLOOKUP('Medidas EE'!$C47,'Usos Electricidad'!$AI$5:$AK$15,3,FALSE),"S/I"))),"N/A"),"S/I")</f>
        <v>880038.59310474619</v>
      </c>
    </row>
    <row r="48" spans="1:18" ht="30" x14ac:dyDescent="0.25">
      <c r="A48" s="390"/>
      <c r="B48" s="254">
        <v>4</v>
      </c>
      <c r="C48" s="255" t="s">
        <v>534</v>
      </c>
      <c r="D48" s="383" t="s">
        <v>541</v>
      </c>
      <c r="E48" s="384"/>
      <c r="F48" s="385"/>
      <c r="G48" s="383" t="s">
        <v>542</v>
      </c>
      <c r="H48" s="384"/>
      <c r="I48" s="385"/>
      <c r="J48" s="256" t="s">
        <v>473</v>
      </c>
      <c r="K48" s="293" t="s">
        <v>33</v>
      </c>
      <c r="L48" s="262" t="s">
        <v>132</v>
      </c>
      <c r="M48" s="275">
        <v>4.2000000000000003E-2</v>
      </c>
      <c r="N48" s="276">
        <v>2</v>
      </c>
      <c r="O48" s="324">
        <v>463261.95427279879</v>
      </c>
      <c r="P48" s="430">
        <f t="shared" si="0"/>
        <v>0.75201564681779032</v>
      </c>
      <c r="Q48" s="429">
        <f>IFERROR(IF('Medidas EE'!$L48="SI",$M48*IF($K48=Listas!$W$4,VLOOKUP('Medidas EE'!$C48,'Resumen usos'!$H$22:$J$32,2,FALSE),IF($K48=Listas!$W$3,VLOOKUP('Medidas EE'!$C48,'Resumen usos'!$H$36:$J$46,2,FALSE),IF($K48=Listas!$W$2,VLOOKUP('Medidas EE'!$C48,'Usos Electricidad'!$AI$5:$AK$15,2,FALSE),"S/I"))),"N/A"),"S/I")</f>
        <v>7185.9375</v>
      </c>
      <c r="R48" s="429">
        <f>IFERROR(IF('Medidas EE'!$L48="SI",$M48*IF($K48=Listas!$W$4,VLOOKUP('Medidas EE'!$C48,'Resumen usos'!$H$22:$J$32,3,FALSE),IF($K48=Listas!$W$3,VLOOKUP('Medidas EE'!$C48,'Resumen usos'!$H$36:$J$46,3,FALSE),IF($K48=Listas!$W$2,VLOOKUP('Medidas EE'!$C48,'Usos Electricidad'!$AI$5:$AK$15,3,FALSE),"S/I"))),"N/A"),"S/I")</f>
        <v>616027.0151733224</v>
      </c>
    </row>
    <row r="49" spans="1:18" ht="15" customHeight="1" x14ac:dyDescent="0.25">
      <c r="A49" s="390"/>
      <c r="B49" s="254">
        <v>5</v>
      </c>
      <c r="C49" s="255" t="s">
        <v>534</v>
      </c>
      <c r="D49" s="383" t="s">
        <v>543</v>
      </c>
      <c r="E49" s="384"/>
      <c r="F49" s="385"/>
      <c r="G49" s="383" t="s">
        <v>544</v>
      </c>
      <c r="H49" s="384"/>
      <c r="I49" s="385"/>
      <c r="J49" s="256" t="s">
        <v>481</v>
      </c>
      <c r="K49" s="293" t="s">
        <v>33</v>
      </c>
      <c r="L49" s="262" t="s">
        <v>132</v>
      </c>
      <c r="M49" s="275">
        <v>0.03</v>
      </c>
      <c r="N49" s="276">
        <v>1</v>
      </c>
      <c r="O49" s="324">
        <v>475466.75649921369</v>
      </c>
      <c r="P49" s="430">
        <f t="shared" si="0"/>
        <v>1.08055887599607</v>
      </c>
      <c r="Q49" s="429">
        <f>IFERROR(IF('Medidas EE'!$L49="SI",$M49*IF($K49=Listas!$W$4,VLOOKUP('Medidas EE'!$C49,'Resumen usos'!$H$22:$J$32,2,FALSE),IF($K49=Listas!$W$3,VLOOKUP('Medidas EE'!$C49,'Resumen usos'!$H$36:$J$46,2,FALSE),IF($K49=Listas!$W$2,VLOOKUP('Medidas EE'!$C49,'Usos Electricidad'!$AI$5:$AK$15,2,FALSE),"S/I"))),"N/A"),"S/I")</f>
        <v>5132.8125</v>
      </c>
      <c r="R49" s="429">
        <f>IFERROR(IF('Medidas EE'!$L49="SI",$M49*IF($K49=Listas!$W$4,VLOOKUP('Medidas EE'!$C49,'Resumen usos'!$H$22:$J$32,3,FALSE),IF($K49=Listas!$W$3,VLOOKUP('Medidas EE'!$C49,'Resumen usos'!$H$36:$J$46,3,FALSE),IF($K49=Listas!$W$2,VLOOKUP('Medidas EE'!$C49,'Usos Electricidad'!$AI$5:$AK$15,3,FALSE),"S/I"))),"N/A"),"S/I")</f>
        <v>440019.2965523731</v>
      </c>
    </row>
    <row r="50" spans="1:18" ht="15" customHeight="1" x14ac:dyDescent="0.25">
      <c r="A50" s="390"/>
      <c r="B50" s="254">
        <v>6</v>
      </c>
      <c r="C50" s="255" t="s">
        <v>534</v>
      </c>
      <c r="D50" s="383" t="s">
        <v>545</v>
      </c>
      <c r="E50" s="384"/>
      <c r="F50" s="385"/>
      <c r="G50" s="383" t="s">
        <v>546</v>
      </c>
      <c r="H50" s="384"/>
      <c r="I50" s="385"/>
      <c r="J50" s="256" t="s">
        <v>481</v>
      </c>
      <c r="K50" s="293" t="s">
        <v>33</v>
      </c>
      <c r="L50" s="262" t="s">
        <v>132</v>
      </c>
      <c r="M50" s="275">
        <v>1.2E-2</v>
      </c>
      <c r="N50" s="276">
        <v>1</v>
      </c>
      <c r="O50" s="324">
        <v>47522.084027656303</v>
      </c>
      <c r="P50" s="430">
        <f t="shared" si="0"/>
        <v>0.27</v>
      </c>
      <c r="Q50" s="429">
        <f>IFERROR(IF('Medidas EE'!$L50="SI",$M50*IF($K50=Listas!$W$4,VLOOKUP('Medidas EE'!$C50,'Resumen usos'!$H$22:$J$32,2,FALSE),IF($K50=Listas!$W$3,VLOOKUP('Medidas EE'!$C50,'Resumen usos'!$H$36:$J$46,2,FALSE),IF($K50=Listas!$W$2,VLOOKUP('Medidas EE'!$C50,'Usos Electricidad'!$AI$5:$AK$15,2,FALSE),"S/I"))),"N/A"),"S/I")</f>
        <v>2053.125</v>
      </c>
      <c r="R50" s="429">
        <f>IFERROR(IF('Medidas EE'!$L50="SI",$M50*IF($K50=Listas!$W$4,VLOOKUP('Medidas EE'!$C50,'Resumen usos'!$H$22:$J$32,3,FALSE),IF($K50=Listas!$W$3,VLOOKUP('Medidas EE'!$C50,'Resumen usos'!$H$36:$J$46,3,FALSE),IF($K50=Listas!$W$2,VLOOKUP('Medidas EE'!$C50,'Usos Electricidad'!$AI$5:$AK$15,3,FALSE),"S/I"))),"N/A"),"S/I")</f>
        <v>176007.71862094925</v>
      </c>
    </row>
    <row r="51" spans="1:18" ht="30" x14ac:dyDescent="0.25">
      <c r="A51" s="390"/>
      <c r="B51" s="257">
        <v>1</v>
      </c>
      <c r="C51" s="258" t="s">
        <v>547</v>
      </c>
      <c r="D51" s="383" t="s">
        <v>548</v>
      </c>
      <c r="E51" s="384"/>
      <c r="F51" s="385"/>
      <c r="G51" s="383" t="s">
        <v>549</v>
      </c>
      <c r="H51" s="384"/>
      <c r="I51" s="385"/>
      <c r="J51" s="259" t="s">
        <v>473</v>
      </c>
      <c r="K51" s="294" t="s">
        <v>33</v>
      </c>
      <c r="L51" s="262" t="s">
        <v>132</v>
      </c>
      <c r="M51" s="277">
        <v>5.5000000000000007E-2</v>
      </c>
      <c r="N51" s="278">
        <v>2</v>
      </c>
      <c r="O51" s="324">
        <v>1397343.1582809095</v>
      </c>
      <c r="P51" s="430">
        <f t="shared" si="0"/>
        <v>1.22</v>
      </c>
      <c r="Q51" s="429">
        <f>IFERROR(IF('Medidas EE'!$L51="SI",$M51*IF($K51=Listas!$W$4,VLOOKUP('Medidas EE'!$C51,'Resumen usos'!$H$22:$J$32,2,FALSE),IF($K51=Listas!$W$3,VLOOKUP('Medidas EE'!$C51,'Resumen usos'!$H$36:$J$46,2,FALSE),IF($K51=Listas!$W$2,VLOOKUP('Medidas EE'!$C51,'Usos Electricidad'!$AI$5:$AK$15,2,FALSE),"S/I"))),"N/A"),"S/I")</f>
        <v>13360.629464285716</v>
      </c>
      <c r="R51" s="429">
        <f>IFERROR(IF('Medidas EE'!$L51="SI",$M51*IF($K51=Listas!$W$4,VLOOKUP('Medidas EE'!$C51,'Resumen usos'!$H$22:$J$32,3,FALSE),IF($K51=Listas!$W$3,VLOOKUP('Medidas EE'!$C51,'Resumen usos'!$H$36:$J$46,3,FALSE),IF($K51=Listas!$W$2,VLOOKUP('Medidas EE'!$C51,'Usos Electricidad'!$AI$5:$AK$15,3,FALSE),"S/I"))),"N/A"),"S/I")</f>
        <v>1145363.2444925488</v>
      </c>
    </row>
    <row r="52" spans="1:18" ht="30" x14ac:dyDescent="0.25">
      <c r="A52" s="390"/>
      <c r="B52" s="257">
        <v>2</v>
      </c>
      <c r="C52" s="258" t="s">
        <v>547</v>
      </c>
      <c r="D52" s="383" t="s">
        <v>550</v>
      </c>
      <c r="E52" s="384"/>
      <c r="F52" s="385"/>
      <c r="G52" s="383" t="s">
        <v>551</v>
      </c>
      <c r="H52" s="384"/>
      <c r="I52" s="385"/>
      <c r="J52" s="259" t="s">
        <v>473</v>
      </c>
      <c r="K52" s="294" t="s">
        <v>33</v>
      </c>
      <c r="L52" s="262" t="s">
        <v>132</v>
      </c>
      <c r="M52" s="277">
        <v>0.2</v>
      </c>
      <c r="N52" s="278">
        <v>2</v>
      </c>
      <c r="O52" s="324">
        <v>3475999.3023511437</v>
      </c>
      <c r="P52" s="430">
        <f t="shared" si="0"/>
        <v>0.83458222772817747</v>
      </c>
      <c r="Q52" s="429">
        <f>IFERROR(IF('Medidas EE'!$L52="SI",$M52*IF($K52=Listas!$W$4,VLOOKUP('Medidas EE'!$C52,'Resumen usos'!$H$22:$J$32,2,FALSE),IF($K52=Listas!$W$3,VLOOKUP('Medidas EE'!$C52,'Resumen usos'!$H$36:$J$46,2,FALSE),IF($K52=Listas!$W$2,VLOOKUP('Medidas EE'!$C52,'Usos Electricidad'!$AI$5:$AK$15,2,FALSE),"S/I"))),"N/A"),"S/I")</f>
        <v>48584.107142857145</v>
      </c>
      <c r="R52" s="429">
        <f>IFERROR(IF('Medidas EE'!$L52="SI",$M52*IF($K52=Listas!$W$4,VLOOKUP('Medidas EE'!$C52,'Resumen usos'!$H$22:$J$32,3,FALSE),IF($K52=Listas!$W$3,VLOOKUP('Medidas EE'!$C52,'Resumen usos'!$H$36:$J$46,3,FALSE),IF($K52=Listas!$W$2,VLOOKUP('Medidas EE'!$C52,'Usos Electricidad'!$AI$5:$AK$15,3,FALSE),"S/I"))),"N/A"),"S/I")</f>
        <v>4164957.252700177</v>
      </c>
    </row>
    <row r="53" spans="1:18" ht="30" x14ac:dyDescent="0.25">
      <c r="A53" s="390"/>
      <c r="B53" s="257">
        <v>3</v>
      </c>
      <c r="C53" s="258" t="s">
        <v>547</v>
      </c>
      <c r="D53" s="383" t="s">
        <v>552</v>
      </c>
      <c r="E53" s="384"/>
      <c r="F53" s="385"/>
      <c r="G53" s="383" t="s">
        <v>553</v>
      </c>
      <c r="H53" s="384"/>
      <c r="I53" s="385"/>
      <c r="J53" s="259" t="s">
        <v>473</v>
      </c>
      <c r="K53" s="294" t="s">
        <v>33</v>
      </c>
      <c r="L53" s="262" t="s">
        <v>132</v>
      </c>
      <c r="M53" s="277">
        <v>0.06</v>
      </c>
      <c r="N53" s="278">
        <v>2</v>
      </c>
      <c r="O53" s="324" t="s">
        <v>712</v>
      </c>
      <c r="P53" s="430" t="str">
        <f t="shared" si="0"/>
        <v/>
      </c>
      <c r="Q53" s="429">
        <f>IFERROR(IF('Medidas EE'!$L53="SI",$M53*IF($K53=Listas!$W$4,VLOOKUP('Medidas EE'!$C53,'Resumen usos'!$H$22:$J$32,2,FALSE),IF($K53=Listas!$W$3,VLOOKUP('Medidas EE'!$C53,'Resumen usos'!$H$36:$J$46,2,FALSE),IF($K53=Listas!$W$2,VLOOKUP('Medidas EE'!$C53,'Usos Electricidad'!$AI$5:$AK$15,2,FALSE),"S/I"))),"N/A"),"S/I")</f>
        <v>14575.232142857141</v>
      </c>
      <c r="R53" s="429">
        <f>IFERROR(IF('Medidas EE'!$L53="SI",$M53*IF($K53=Listas!$W$4,VLOOKUP('Medidas EE'!$C53,'Resumen usos'!$H$22:$J$32,3,FALSE),IF($K53=Listas!$W$3,VLOOKUP('Medidas EE'!$C53,'Resumen usos'!$H$36:$J$46,3,FALSE),IF($K53=Listas!$W$2,VLOOKUP('Medidas EE'!$C53,'Usos Electricidad'!$AI$5:$AK$15,3,FALSE),"S/I"))),"N/A"),"S/I")</f>
        <v>1249487.175810053</v>
      </c>
    </row>
    <row r="54" spans="1:18" ht="45" x14ac:dyDescent="0.25">
      <c r="A54" s="390"/>
      <c r="B54" s="257">
        <v>4</v>
      </c>
      <c r="C54" s="258" t="s">
        <v>547</v>
      </c>
      <c r="D54" s="383" t="s">
        <v>554</v>
      </c>
      <c r="E54" s="384"/>
      <c r="F54" s="385"/>
      <c r="G54" s="383" t="s">
        <v>555</v>
      </c>
      <c r="H54" s="384"/>
      <c r="I54" s="385"/>
      <c r="J54" s="259" t="s">
        <v>476</v>
      </c>
      <c r="K54" s="294" t="s">
        <v>33</v>
      </c>
      <c r="L54" s="262" t="s">
        <v>132</v>
      </c>
      <c r="M54" s="277">
        <v>1.6355297864337648E-2</v>
      </c>
      <c r="N54" s="278">
        <v>3</v>
      </c>
      <c r="O54" s="324">
        <v>936790.59800299711</v>
      </c>
      <c r="P54" s="430">
        <f t="shared" si="0"/>
        <v>2.750448469340014</v>
      </c>
      <c r="Q54" s="429">
        <f>IFERROR(IF('Medidas EE'!$L54="SI",$M54*IF($K54=Listas!$W$4,VLOOKUP('Medidas EE'!$C54,'Resumen usos'!$H$22:$J$32,2,FALSE),IF($K54=Listas!$W$3,VLOOKUP('Medidas EE'!$C54,'Resumen usos'!$H$36:$J$46,2,FALSE),IF($K54=Listas!$W$2,VLOOKUP('Medidas EE'!$C54,'Usos Electricidad'!$AI$5:$AK$15,2,FALSE),"S/I"))),"N/A"),"S/I")</f>
        <v>3973.0377189716146</v>
      </c>
      <c r="R54" s="429">
        <f>IFERROR(IF('Medidas EE'!$L54="SI",$M54*IF($K54=Listas!$W$4,VLOOKUP('Medidas EE'!$C54,'Resumen usos'!$H$22:$J$32,3,FALSE),IF($K54=Listas!$W$3,VLOOKUP('Medidas EE'!$C54,'Resumen usos'!$H$36:$J$46,3,FALSE),IF($K54=Listas!$W$2,VLOOKUP('Medidas EE'!$C54,'Usos Electricidad'!$AI$5:$AK$15,3,FALSE),"S/I"))),"N/A"),"S/I")</f>
        <v>340595.582300724</v>
      </c>
    </row>
    <row r="55" spans="1:18" ht="30" x14ac:dyDescent="0.25">
      <c r="A55" s="390"/>
      <c r="B55" s="257">
        <v>5</v>
      </c>
      <c r="C55" s="258" t="s">
        <v>547</v>
      </c>
      <c r="D55" s="383" t="s">
        <v>556</v>
      </c>
      <c r="E55" s="384"/>
      <c r="F55" s="385"/>
      <c r="G55" s="383" t="s">
        <v>557</v>
      </c>
      <c r="H55" s="384"/>
      <c r="I55" s="385"/>
      <c r="J55" s="259" t="s">
        <v>473</v>
      </c>
      <c r="K55" s="294" t="s">
        <v>33</v>
      </c>
      <c r="L55" s="262" t="s">
        <v>132</v>
      </c>
      <c r="M55" s="277">
        <v>0.17</v>
      </c>
      <c r="N55" s="278">
        <v>2</v>
      </c>
      <c r="O55" s="324">
        <v>2336541.0187647995</v>
      </c>
      <c r="P55" s="430">
        <f t="shared" si="0"/>
        <v>0.66</v>
      </c>
      <c r="Q55" s="429">
        <f>IFERROR(IF('Medidas EE'!$L55="SI",$M55*IF($K55=Listas!$W$4,VLOOKUP('Medidas EE'!$C55,'Resumen usos'!$H$22:$J$32,2,FALSE),IF($K55=Listas!$W$3,VLOOKUP('Medidas EE'!$C55,'Resumen usos'!$H$36:$J$46,2,FALSE),IF($K55=Listas!$W$2,VLOOKUP('Medidas EE'!$C55,'Usos Electricidad'!$AI$5:$AK$15,2,FALSE),"S/I"))),"N/A"),"S/I")</f>
        <v>41296.491071428572</v>
      </c>
      <c r="R55" s="429">
        <f>IFERROR(IF('Medidas EE'!$L55="SI",$M55*IF($K55=Listas!$W$4,VLOOKUP('Medidas EE'!$C55,'Resumen usos'!$H$22:$J$32,3,FALSE),IF($K55=Listas!$W$3,VLOOKUP('Medidas EE'!$C55,'Resumen usos'!$H$36:$J$46,3,FALSE),IF($K55=Listas!$W$2,VLOOKUP('Medidas EE'!$C55,'Usos Electricidad'!$AI$5:$AK$15,3,FALSE),"S/I"))),"N/A"),"S/I")</f>
        <v>3540213.6647951505</v>
      </c>
    </row>
    <row r="56" spans="1:18" ht="30" x14ac:dyDescent="0.25">
      <c r="A56" s="390"/>
      <c r="B56" s="257">
        <v>6</v>
      </c>
      <c r="C56" s="258" t="s">
        <v>547</v>
      </c>
      <c r="D56" s="383" t="s">
        <v>558</v>
      </c>
      <c r="E56" s="384"/>
      <c r="F56" s="385"/>
      <c r="G56" s="383" t="s">
        <v>558</v>
      </c>
      <c r="H56" s="384"/>
      <c r="I56" s="385"/>
      <c r="J56" s="259" t="s">
        <v>481</v>
      </c>
      <c r="K56" s="294" t="s">
        <v>33</v>
      </c>
      <c r="L56" s="262" t="s">
        <v>132</v>
      </c>
      <c r="M56" s="277">
        <v>0.04</v>
      </c>
      <c r="N56" s="278">
        <v>1</v>
      </c>
      <c r="O56" s="324">
        <v>426120.90979297599</v>
      </c>
      <c r="P56" s="430">
        <f t="shared" si="0"/>
        <v>0.51155496195875505</v>
      </c>
      <c r="Q56" s="429">
        <f>IFERROR(IF('Medidas EE'!$L56="SI",$M56*IF($K56=Listas!$W$4,VLOOKUP('Medidas EE'!$C56,'Resumen usos'!$H$22:$J$32,2,FALSE),IF($K56=Listas!$W$3,VLOOKUP('Medidas EE'!$C56,'Resumen usos'!$H$36:$J$46,2,FALSE),IF($K56=Listas!$W$2,VLOOKUP('Medidas EE'!$C56,'Usos Electricidad'!$AI$5:$AK$15,2,FALSE),"S/I"))),"N/A"),"S/I")</f>
        <v>9716.8214285714294</v>
      </c>
      <c r="R56" s="429">
        <f>IFERROR(IF('Medidas EE'!$L56="SI",$M56*IF($K56=Listas!$W$4,VLOOKUP('Medidas EE'!$C56,'Resumen usos'!$H$22:$J$32,3,FALSE),IF($K56=Listas!$W$3,VLOOKUP('Medidas EE'!$C56,'Resumen usos'!$H$36:$J$46,3,FALSE),IF($K56=Listas!$W$2,VLOOKUP('Medidas EE'!$C56,'Usos Electricidad'!$AI$5:$AK$15,3,FALSE),"S/I"))),"N/A"),"S/I")</f>
        <v>832991.45054003538</v>
      </c>
    </row>
    <row r="57" spans="1:18" ht="45" x14ac:dyDescent="0.25">
      <c r="A57" s="390"/>
      <c r="B57" s="257">
        <v>7</v>
      </c>
      <c r="C57" s="258" t="s">
        <v>547</v>
      </c>
      <c r="D57" s="383" t="s">
        <v>559</v>
      </c>
      <c r="E57" s="384"/>
      <c r="F57" s="385"/>
      <c r="G57" s="383" t="s">
        <v>560</v>
      </c>
      <c r="H57" s="384"/>
      <c r="I57" s="385"/>
      <c r="J57" s="259" t="s">
        <v>476</v>
      </c>
      <c r="K57" s="294" t="s">
        <v>33</v>
      </c>
      <c r="L57" s="262" t="s">
        <v>132</v>
      </c>
      <c r="M57" s="277">
        <v>3.8446656085896098E-2</v>
      </c>
      <c r="N57" s="278">
        <v>3</v>
      </c>
      <c r="O57" s="324">
        <v>699167.19786500523</v>
      </c>
      <c r="P57" s="430">
        <f t="shared" si="0"/>
        <v>0.87325668551567237</v>
      </c>
      <c r="Q57" s="429">
        <f>IFERROR(IF('Medidas EE'!$L57="SI",$M57*IF($K57=Listas!$W$4,VLOOKUP('Medidas EE'!$C57,'Resumen usos'!$H$22:$J$32,2,FALSE),IF($K57=Listas!$W$3,VLOOKUP('Medidas EE'!$C57,'Resumen usos'!$H$36:$J$46,2,FALSE),IF($K57=Listas!$W$2,VLOOKUP('Medidas EE'!$C57,'Usos Electricidad'!$AI$5:$AK$15,2,FALSE),"S/I"))),"N/A"),"S/I")</f>
        <v>9339.4822928087833</v>
      </c>
      <c r="R57" s="429">
        <f>IFERROR(IF('Medidas EE'!$L57="SI",$M57*IF($K57=Listas!$W$4,VLOOKUP('Medidas EE'!$C57,'Resumen usos'!$H$22:$J$32,3,FALSE),IF($K57=Listas!$W$3,VLOOKUP('Medidas EE'!$C57,'Resumen usos'!$H$36:$J$46,3,FALSE),IF($K57=Listas!$W$2,VLOOKUP('Medidas EE'!$C57,'Usos Electricidad'!$AI$5:$AK$15,3,FALSE),"S/I"))),"N/A"),"S/I")</f>
        <v>800643.39553511178</v>
      </c>
    </row>
    <row r="58" spans="1:18" ht="30" x14ac:dyDescent="0.25">
      <c r="A58" s="390"/>
      <c r="B58" s="257">
        <v>8</v>
      </c>
      <c r="C58" s="258" t="s">
        <v>547</v>
      </c>
      <c r="D58" s="383" t="s">
        <v>561</v>
      </c>
      <c r="E58" s="384"/>
      <c r="F58" s="385"/>
      <c r="G58" s="383" t="s">
        <v>562</v>
      </c>
      <c r="H58" s="384"/>
      <c r="I58" s="385"/>
      <c r="J58" s="259" t="s">
        <v>481</v>
      </c>
      <c r="K58" s="294" t="s">
        <v>33</v>
      </c>
      <c r="L58" s="262" t="s">
        <v>132</v>
      </c>
      <c r="M58" s="277">
        <v>2.3E-2</v>
      </c>
      <c r="N58" s="278">
        <v>1</v>
      </c>
      <c r="O58" s="324">
        <v>234695.34118965495</v>
      </c>
      <c r="P58" s="430">
        <f t="shared" si="0"/>
        <v>0.49</v>
      </c>
      <c r="Q58" s="429">
        <f>IFERROR(IF('Medidas EE'!$L58="SI",$M58*IF($K58=Listas!$W$4,VLOOKUP('Medidas EE'!$C58,'Resumen usos'!$H$22:$J$32,2,FALSE),IF($K58=Listas!$W$3,VLOOKUP('Medidas EE'!$C58,'Resumen usos'!$H$36:$J$46,2,FALSE),IF($K58=Listas!$W$2,VLOOKUP('Medidas EE'!$C58,'Usos Electricidad'!$AI$5:$AK$15,2,FALSE),"S/I"))),"N/A"),"S/I")</f>
        <v>5587.1723214285712</v>
      </c>
      <c r="R58" s="429">
        <f>IFERROR(IF('Medidas EE'!$L58="SI",$M58*IF($K58=Listas!$W$4,VLOOKUP('Medidas EE'!$C58,'Resumen usos'!$H$22:$J$32,3,FALSE),IF($K58=Listas!$W$3,VLOOKUP('Medidas EE'!$C58,'Resumen usos'!$H$36:$J$46,3,FALSE),IF($K58=Listas!$W$2,VLOOKUP('Medidas EE'!$C58,'Usos Electricidad'!$AI$5:$AK$15,3,FALSE),"S/I"))),"N/A"),"S/I")</f>
        <v>478970.08406052034</v>
      </c>
    </row>
    <row r="59" spans="1:18" ht="45" x14ac:dyDescent="0.25">
      <c r="A59" s="390"/>
      <c r="B59" s="254">
        <v>1</v>
      </c>
      <c r="C59" s="255" t="s">
        <v>563</v>
      </c>
      <c r="D59" s="383" t="s">
        <v>564</v>
      </c>
      <c r="E59" s="384"/>
      <c r="F59" s="385"/>
      <c r="G59" s="383" t="s">
        <v>565</v>
      </c>
      <c r="H59" s="384"/>
      <c r="I59" s="385"/>
      <c r="J59" s="256" t="s">
        <v>476</v>
      </c>
      <c r="K59" s="293" t="s">
        <v>33</v>
      </c>
      <c r="L59" s="262" t="s">
        <v>132</v>
      </c>
      <c r="M59" s="275">
        <v>4.1000000000000002E-2</v>
      </c>
      <c r="N59" s="276">
        <v>3</v>
      </c>
      <c r="O59" s="324"/>
      <c r="P59" s="430" t="str">
        <f t="shared" si="0"/>
        <v/>
      </c>
      <c r="Q59" s="429">
        <f>IFERROR(IF('Medidas EE'!$L59="SI",$M59*IF($K59=Listas!$W$4,VLOOKUP('Medidas EE'!$C59,'Resumen usos'!$H$22:$J$32,2,FALSE),IF($K59=Listas!$W$3,VLOOKUP('Medidas EE'!$C59,'Resumen usos'!$H$36:$J$46,2,FALSE),IF($K59=Listas!$W$2,VLOOKUP('Medidas EE'!$C59,'Usos Electricidad'!$AI$5:$AK$15,2,FALSE),"S/I"))),"N/A"),"S/I")</f>
        <v>0</v>
      </c>
      <c r="R59" s="429">
        <f>IFERROR(IF('Medidas EE'!$L59="SI",$M59*IF($K59=Listas!$W$4,VLOOKUP('Medidas EE'!$C59,'Resumen usos'!$H$22:$J$32,3,FALSE),IF($K59=Listas!$W$3,VLOOKUP('Medidas EE'!$C59,'Resumen usos'!$H$36:$J$46,3,FALSE),IF($K59=Listas!$W$2,VLOOKUP('Medidas EE'!$C59,'Usos Electricidad'!$AI$5:$AK$15,3,FALSE),"S/I"))),"N/A"),"S/I")</f>
        <v>0</v>
      </c>
    </row>
    <row r="60" spans="1:18" ht="15" customHeight="1" x14ac:dyDescent="0.25">
      <c r="A60" s="390"/>
      <c r="B60" s="254">
        <v>2</v>
      </c>
      <c r="C60" s="255" t="s">
        <v>563</v>
      </c>
      <c r="D60" s="383" t="s">
        <v>566</v>
      </c>
      <c r="E60" s="384"/>
      <c r="F60" s="385"/>
      <c r="G60" s="383" t="s">
        <v>567</v>
      </c>
      <c r="H60" s="384"/>
      <c r="I60" s="385"/>
      <c r="J60" s="256" t="s">
        <v>481</v>
      </c>
      <c r="K60" s="293" t="s">
        <v>33</v>
      </c>
      <c r="L60" s="262" t="s">
        <v>132</v>
      </c>
      <c r="M60" s="275">
        <v>0.2</v>
      </c>
      <c r="N60" s="276">
        <v>1</v>
      </c>
      <c r="O60" s="324"/>
      <c r="P60" s="430" t="str">
        <f t="shared" si="0"/>
        <v/>
      </c>
      <c r="Q60" s="429">
        <f>IFERROR(IF('Medidas EE'!$L60="SI",$M60*IF($K60=Listas!$W$4,VLOOKUP('Medidas EE'!$C60,'Resumen usos'!$H$22:$J$32,2,FALSE),IF($K60=Listas!$W$3,VLOOKUP('Medidas EE'!$C60,'Resumen usos'!$H$36:$J$46,2,FALSE),IF($K60=Listas!$W$2,VLOOKUP('Medidas EE'!$C60,'Usos Electricidad'!$AI$5:$AK$15,2,FALSE),"S/I"))),"N/A"),"S/I")</f>
        <v>0</v>
      </c>
      <c r="R60" s="429">
        <f>IFERROR(IF('Medidas EE'!$L60="SI",$M60*IF($K60=Listas!$W$4,VLOOKUP('Medidas EE'!$C60,'Resumen usos'!$H$22:$J$32,3,FALSE),IF($K60=Listas!$W$3,VLOOKUP('Medidas EE'!$C60,'Resumen usos'!$H$36:$J$46,3,FALSE),IF($K60=Listas!$W$2,VLOOKUP('Medidas EE'!$C60,'Usos Electricidad'!$AI$5:$AK$15,3,FALSE),"S/I"))),"N/A"),"S/I")</f>
        <v>0</v>
      </c>
    </row>
    <row r="61" spans="1:18" ht="45" x14ac:dyDescent="0.25">
      <c r="A61" s="390"/>
      <c r="B61" s="254">
        <v>3</v>
      </c>
      <c r="C61" s="255" t="s">
        <v>563</v>
      </c>
      <c r="D61" s="383" t="s">
        <v>568</v>
      </c>
      <c r="E61" s="384"/>
      <c r="F61" s="385"/>
      <c r="G61" s="383" t="s">
        <v>569</v>
      </c>
      <c r="H61" s="384"/>
      <c r="I61" s="385"/>
      <c r="J61" s="256" t="s">
        <v>476</v>
      </c>
      <c r="K61" s="293" t="s">
        <v>33</v>
      </c>
      <c r="L61" s="262" t="s">
        <v>132</v>
      </c>
      <c r="M61" s="275">
        <v>0.1</v>
      </c>
      <c r="N61" s="276">
        <v>3</v>
      </c>
      <c r="O61" s="324"/>
      <c r="P61" s="430" t="str">
        <f t="shared" si="0"/>
        <v/>
      </c>
      <c r="Q61" s="429">
        <f>IFERROR(IF('Medidas EE'!$L61="SI",$M61*IF($K61=Listas!$W$4,VLOOKUP('Medidas EE'!$C61,'Resumen usos'!$H$22:$J$32,2,FALSE),IF($K61=Listas!$W$3,VLOOKUP('Medidas EE'!$C61,'Resumen usos'!$H$36:$J$46,2,FALSE),IF($K61=Listas!$W$2,VLOOKUP('Medidas EE'!$C61,'Usos Electricidad'!$AI$5:$AK$15,2,FALSE),"S/I"))),"N/A"),"S/I")</f>
        <v>0</v>
      </c>
      <c r="R61" s="429">
        <f>IFERROR(IF('Medidas EE'!$L61="SI",$M61*IF($K61=Listas!$W$4,VLOOKUP('Medidas EE'!$C61,'Resumen usos'!$H$22:$J$32,3,FALSE),IF($K61=Listas!$W$3,VLOOKUP('Medidas EE'!$C61,'Resumen usos'!$H$36:$J$46,3,FALSE),IF($K61=Listas!$W$2,VLOOKUP('Medidas EE'!$C61,'Usos Electricidad'!$AI$5:$AK$15,3,FALSE),"S/I"))),"N/A"),"S/I")</f>
        <v>0</v>
      </c>
    </row>
    <row r="62" spans="1:18" ht="45" x14ac:dyDescent="0.25">
      <c r="A62" s="390"/>
      <c r="B62" s="254">
        <v>4</v>
      </c>
      <c r="C62" s="255" t="s">
        <v>563</v>
      </c>
      <c r="D62" s="383" t="s">
        <v>570</v>
      </c>
      <c r="E62" s="384"/>
      <c r="F62" s="385"/>
      <c r="G62" s="383" t="s">
        <v>569</v>
      </c>
      <c r="H62" s="384"/>
      <c r="I62" s="385"/>
      <c r="J62" s="256" t="s">
        <v>476</v>
      </c>
      <c r="K62" s="293" t="s">
        <v>33</v>
      </c>
      <c r="L62" s="262" t="s">
        <v>132</v>
      </c>
      <c r="M62" s="275">
        <v>0.41678999999999999</v>
      </c>
      <c r="N62" s="276">
        <v>3</v>
      </c>
      <c r="O62" s="324"/>
      <c r="P62" s="430" t="str">
        <f t="shared" si="0"/>
        <v/>
      </c>
      <c r="Q62" s="429">
        <f>IFERROR(IF('Medidas EE'!$L62="SI",$M62*IF($K62=Listas!$W$4,VLOOKUP('Medidas EE'!$C62,'Resumen usos'!$H$22:$J$32,2,FALSE),IF($K62=Listas!$W$3,VLOOKUP('Medidas EE'!$C62,'Resumen usos'!$H$36:$J$46,2,FALSE),IF($K62=Listas!$W$2,VLOOKUP('Medidas EE'!$C62,'Usos Electricidad'!$AI$5:$AK$15,2,FALSE),"S/I"))),"N/A"),"S/I")</f>
        <v>0</v>
      </c>
      <c r="R62" s="429">
        <f>IFERROR(IF('Medidas EE'!$L62="SI",$M62*IF($K62=Listas!$W$4,VLOOKUP('Medidas EE'!$C62,'Resumen usos'!$H$22:$J$32,3,FALSE),IF($K62=Listas!$W$3,VLOOKUP('Medidas EE'!$C62,'Resumen usos'!$H$36:$J$46,3,FALSE),IF($K62=Listas!$W$2,VLOOKUP('Medidas EE'!$C62,'Usos Electricidad'!$AI$5:$AK$15,3,FALSE),"S/I"))),"N/A"),"S/I")</f>
        <v>0</v>
      </c>
    </row>
    <row r="63" spans="1:18" ht="15" customHeight="1" x14ac:dyDescent="0.25">
      <c r="A63" s="390"/>
      <c r="B63" s="254">
        <v>5</v>
      </c>
      <c r="C63" s="255" t="s">
        <v>563</v>
      </c>
      <c r="D63" s="383" t="s">
        <v>571</v>
      </c>
      <c r="E63" s="384"/>
      <c r="F63" s="385"/>
      <c r="G63" s="383" t="s">
        <v>572</v>
      </c>
      <c r="H63" s="384"/>
      <c r="I63" s="385"/>
      <c r="J63" s="256" t="s">
        <v>481</v>
      </c>
      <c r="K63" s="293" t="s">
        <v>33</v>
      </c>
      <c r="L63" s="262" t="s">
        <v>132</v>
      </c>
      <c r="M63" s="275">
        <v>4.4435952750799666E-2</v>
      </c>
      <c r="N63" s="276">
        <v>1</v>
      </c>
      <c r="O63" s="324"/>
      <c r="P63" s="430" t="str">
        <f t="shared" si="0"/>
        <v/>
      </c>
      <c r="Q63" s="429">
        <f>IFERROR(IF('Medidas EE'!$L63="SI",$M63*IF($K63=Listas!$W$4,VLOOKUP('Medidas EE'!$C63,'Resumen usos'!$H$22:$J$32,2,FALSE),IF($K63=Listas!$W$3,VLOOKUP('Medidas EE'!$C63,'Resumen usos'!$H$36:$J$46,2,FALSE),IF($K63=Listas!$W$2,VLOOKUP('Medidas EE'!$C63,'Usos Electricidad'!$AI$5:$AK$15,2,FALSE),"S/I"))),"N/A"),"S/I")</f>
        <v>0</v>
      </c>
      <c r="R63" s="429">
        <f>IFERROR(IF('Medidas EE'!$L63="SI",$M63*IF($K63=Listas!$W$4,VLOOKUP('Medidas EE'!$C63,'Resumen usos'!$H$22:$J$32,3,FALSE),IF($K63=Listas!$W$3,VLOOKUP('Medidas EE'!$C63,'Resumen usos'!$H$36:$J$46,3,FALSE),IF($K63=Listas!$W$2,VLOOKUP('Medidas EE'!$C63,'Usos Electricidad'!$AI$5:$AK$15,3,FALSE),"S/I"))),"N/A"),"S/I")</f>
        <v>0</v>
      </c>
    </row>
    <row r="64" spans="1:18" ht="15" customHeight="1" x14ac:dyDescent="0.25">
      <c r="A64" s="390"/>
      <c r="B64" s="254">
        <v>6</v>
      </c>
      <c r="C64" s="255" t="s">
        <v>563</v>
      </c>
      <c r="D64" s="383" t="s">
        <v>573</v>
      </c>
      <c r="E64" s="384"/>
      <c r="F64" s="385"/>
      <c r="G64" s="383" t="s">
        <v>574</v>
      </c>
      <c r="H64" s="384"/>
      <c r="I64" s="385"/>
      <c r="J64" s="256" t="s">
        <v>481</v>
      </c>
      <c r="K64" s="293" t="s">
        <v>33</v>
      </c>
      <c r="L64" s="262" t="s">
        <v>132</v>
      </c>
      <c r="M64" s="275">
        <v>3.1793408773288012E-2</v>
      </c>
      <c r="N64" s="276">
        <v>1</v>
      </c>
      <c r="O64" s="324"/>
      <c r="P64" s="430" t="str">
        <f t="shared" si="0"/>
        <v/>
      </c>
      <c r="Q64" s="429">
        <f>IFERROR(IF('Medidas EE'!$L64="SI",$M64*IF($K64=Listas!$W$4,VLOOKUP('Medidas EE'!$C64,'Resumen usos'!$H$22:$J$32,2,FALSE),IF($K64=Listas!$W$3,VLOOKUP('Medidas EE'!$C64,'Resumen usos'!$H$36:$J$46,2,FALSE),IF($K64=Listas!$W$2,VLOOKUP('Medidas EE'!$C64,'Usos Electricidad'!$AI$5:$AK$15,2,FALSE),"S/I"))),"N/A"),"S/I")</f>
        <v>0</v>
      </c>
      <c r="R64" s="429">
        <f>IFERROR(IF('Medidas EE'!$L64="SI",$M64*IF($K64=Listas!$W$4,VLOOKUP('Medidas EE'!$C64,'Resumen usos'!$H$22:$J$32,3,FALSE),IF($K64=Listas!$W$3,VLOOKUP('Medidas EE'!$C64,'Resumen usos'!$H$36:$J$46,3,FALSE),IF($K64=Listas!$W$2,VLOOKUP('Medidas EE'!$C64,'Usos Electricidad'!$AI$5:$AK$15,3,FALSE),"S/I"))),"N/A"),"S/I")</f>
        <v>0</v>
      </c>
    </row>
    <row r="65" spans="1:18" ht="15" customHeight="1" x14ac:dyDescent="0.25">
      <c r="A65" s="390"/>
      <c r="B65" s="257">
        <v>1</v>
      </c>
      <c r="C65" s="258" t="s">
        <v>575</v>
      </c>
      <c r="D65" s="383" t="s">
        <v>576</v>
      </c>
      <c r="E65" s="384"/>
      <c r="F65" s="385"/>
      <c r="G65" s="383" t="s">
        <v>577</v>
      </c>
      <c r="H65" s="384"/>
      <c r="I65" s="385"/>
      <c r="J65" s="259" t="s">
        <v>481</v>
      </c>
      <c r="K65" s="294" t="s">
        <v>637</v>
      </c>
      <c r="L65" s="262" t="s">
        <v>132</v>
      </c>
      <c r="M65" s="277">
        <v>0.18</v>
      </c>
      <c r="N65" s="278">
        <v>1</v>
      </c>
      <c r="O65" s="324"/>
      <c r="P65" s="430" t="str">
        <f t="shared" si="0"/>
        <v/>
      </c>
      <c r="Q65" s="429">
        <f>IFERROR(IF('Medidas EE'!$L65="SI",$M65*IF($K65=Listas!$W$4,VLOOKUP('Medidas EE'!$C65,'Resumen usos'!$H$22:$J$32,2,FALSE),IF($K65=Listas!$W$3,VLOOKUP('Medidas EE'!$C65,'Resumen usos'!$H$36:$J$46,2,FALSE),IF($K65=Listas!$W$2,VLOOKUP('Medidas EE'!$C65,'Usos Electricidad'!$AI$5:$AK$15,2,FALSE),"S/I"))),"N/A"),"S/I")</f>
        <v>0</v>
      </c>
      <c r="R65" s="429">
        <f>IFERROR(IF('Medidas EE'!$L65="SI",$M65*IF($K65=Listas!$W$4,VLOOKUP('Medidas EE'!$C65,'Resumen usos'!$H$22:$J$32,3,FALSE),IF($K65=Listas!$W$3,VLOOKUP('Medidas EE'!$C65,'Resumen usos'!$H$36:$J$46,3,FALSE),IF($K65=Listas!$W$2,VLOOKUP('Medidas EE'!$C65,'Usos Electricidad'!$AI$5:$AK$15,3,FALSE),"S/I"))),"N/A"),"S/I")</f>
        <v>0</v>
      </c>
    </row>
    <row r="66" spans="1:18" ht="15" customHeight="1" x14ac:dyDescent="0.25">
      <c r="A66" s="390"/>
      <c r="B66" s="257">
        <v>2</v>
      </c>
      <c r="C66" s="258" t="s">
        <v>575</v>
      </c>
      <c r="D66" s="383" t="s">
        <v>578</v>
      </c>
      <c r="E66" s="384"/>
      <c r="F66" s="385"/>
      <c r="G66" s="383" t="s">
        <v>579</v>
      </c>
      <c r="H66" s="384"/>
      <c r="I66" s="385"/>
      <c r="J66" s="259" t="s">
        <v>481</v>
      </c>
      <c r="K66" s="294" t="s">
        <v>637</v>
      </c>
      <c r="L66" s="262" t="s">
        <v>132</v>
      </c>
      <c r="M66" s="277">
        <v>0.16</v>
      </c>
      <c r="N66" s="278">
        <v>1</v>
      </c>
      <c r="O66" s="324"/>
      <c r="P66" s="430" t="str">
        <f t="shared" si="0"/>
        <v/>
      </c>
      <c r="Q66" s="429">
        <f>IFERROR(IF('Medidas EE'!$L66="SI",$M66*IF($K66=Listas!$W$4,VLOOKUP('Medidas EE'!$C66,'Resumen usos'!$H$22:$J$32,2,FALSE),IF($K66=Listas!$W$3,VLOOKUP('Medidas EE'!$C66,'Resumen usos'!$H$36:$J$46,2,FALSE),IF($K66=Listas!$W$2,VLOOKUP('Medidas EE'!$C66,'Usos Electricidad'!$AI$5:$AK$15,2,FALSE),"S/I"))),"N/A"),"S/I")</f>
        <v>0</v>
      </c>
      <c r="R66" s="429">
        <f>IFERROR(IF('Medidas EE'!$L66="SI",$M66*IF($K66=Listas!$W$4,VLOOKUP('Medidas EE'!$C66,'Resumen usos'!$H$22:$J$32,3,FALSE),IF($K66=Listas!$W$3,VLOOKUP('Medidas EE'!$C66,'Resumen usos'!$H$36:$J$46,3,FALSE),IF($K66=Listas!$W$2,VLOOKUP('Medidas EE'!$C66,'Usos Electricidad'!$AI$5:$AK$15,3,FALSE),"S/I"))),"N/A"),"S/I")</f>
        <v>0</v>
      </c>
    </row>
    <row r="67" spans="1:18" ht="30" x14ac:dyDescent="0.25">
      <c r="A67" s="390"/>
      <c r="B67" s="257">
        <v>3</v>
      </c>
      <c r="C67" s="258" t="s">
        <v>575</v>
      </c>
      <c r="D67" s="383" t="s">
        <v>580</v>
      </c>
      <c r="E67" s="384"/>
      <c r="F67" s="385"/>
      <c r="G67" s="383" t="s">
        <v>581</v>
      </c>
      <c r="H67" s="384"/>
      <c r="I67" s="385"/>
      <c r="J67" s="259" t="s">
        <v>473</v>
      </c>
      <c r="K67" s="294" t="s">
        <v>637</v>
      </c>
      <c r="L67" s="262" t="s">
        <v>132</v>
      </c>
      <c r="M67" s="277">
        <v>0.05</v>
      </c>
      <c r="N67" s="278">
        <v>2</v>
      </c>
      <c r="O67" s="324"/>
      <c r="P67" s="430" t="str">
        <f t="shared" si="0"/>
        <v/>
      </c>
      <c r="Q67" s="429">
        <f>IFERROR(IF('Medidas EE'!$L67="SI",$M67*IF($K67=Listas!$W$4,VLOOKUP('Medidas EE'!$C67,'Resumen usos'!$H$22:$J$32,2,FALSE),IF($K67=Listas!$W$3,VLOOKUP('Medidas EE'!$C67,'Resumen usos'!$H$36:$J$46,2,FALSE),IF($K67=Listas!$W$2,VLOOKUP('Medidas EE'!$C67,'Usos Electricidad'!$AI$5:$AK$15,2,FALSE),"S/I"))),"N/A"),"S/I")</f>
        <v>0</v>
      </c>
      <c r="R67" s="429">
        <f>IFERROR(IF('Medidas EE'!$L67="SI",$M67*IF($K67=Listas!$W$4,VLOOKUP('Medidas EE'!$C67,'Resumen usos'!$H$22:$J$32,3,FALSE),IF($K67=Listas!$W$3,VLOOKUP('Medidas EE'!$C67,'Resumen usos'!$H$36:$J$46,3,FALSE),IF($K67=Listas!$W$2,VLOOKUP('Medidas EE'!$C67,'Usos Electricidad'!$AI$5:$AK$15,3,FALSE),"S/I"))),"N/A"),"S/I")</f>
        <v>0</v>
      </c>
    </row>
    <row r="68" spans="1:18" ht="30" x14ac:dyDescent="0.25">
      <c r="A68" s="390"/>
      <c r="B68" s="257">
        <v>4</v>
      </c>
      <c r="C68" s="258" t="s">
        <v>575</v>
      </c>
      <c r="D68" s="383" t="s">
        <v>582</v>
      </c>
      <c r="E68" s="384"/>
      <c r="F68" s="385"/>
      <c r="G68" s="383" t="s">
        <v>583</v>
      </c>
      <c r="H68" s="384"/>
      <c r="I68" s="385"/>
      <c r="J68" s="259" t="s">
        <v>473</v>
      </c>
      <c r="K68" s="294" t="s">
        <v>637</v>
      </c>
      <c r="L68" s="262" t="s">
        <v>132</v>
      </c>
      <c r="M68" s="277">
        <v>4.3557924691743612E-2</v>
      </c>
      <c r="N68" s="278">
        <v>2</v>
      </c>
      <c r="O68" s="324"/>
      <c r="P68" s="430" t="str">
        <f t="shared" si="0"/>
        <v/>
      </c>
      <c r="Q68" s="429">
        <f>IFERROR(IF('Medidas EE'!$L68="SI",$M68*IF($K68=Listas!$W$4,VLOOKUP('Medidas EE'!$C68,'Resumen usos'!$H$22:$J$32,2,FALSE),IF($K68=Listas!$W$3,VLOOKUP('Medidas EE'!$C68,'Resumen usos'!$H$36:$J$46,2,FALSE),IF($K68=Listas!$W$2,VLOOKUP('Medidas EE'!$C68,'Usos Electricidad'!$AI$5:$AK$15,2,FALSE),"S/I"))),"N/A"),"S/I")</f>
        <v>0</v>
      </c>
      <c r="R68" s="429">
        <f>IFERROR(IF('Medidas EE'!$L68="SI",$M68*IF($K68=Listas!$W$4,VLOOKUP('Medidas EE'!$C68,'Resumen usos'!$H$22:$J$32,3,FALSE),IF($K68=Listas!$W$3,VLOOKUP('Medidas EE'!$C68,'Resumen usos'!$H$36:$J$46,3,FALSE),IF($K68=Listas!$W$2,VLOOKUP('Medidas EE'!$C68,'Usos Electricidad'!$AI$5:$AK$15,3,FALSE),"S/I"))),"N/A"),"S/I")</f>
        <v>0</v>
      </c>
    </row>
    <row r="69" spans="1:18" ht="45" x14ac:dyDescent="0.25">
      <c r="A69" s="390"/>
      <c r="B69" s="257">
        <v>5</v>
      </c>
      <c r="C69" s="258" t="s">
        <v>575</v>
      </c>
      <c r="D69" s="383" t="s">
        <v>584</v>
      </c>
      <c r="E69" s="384"/>
      <c r="F69" s="385"/>
      <c r="G69" s="383" t="s">
        <v>585</v>
      </c>
      <c r="H69" s="384"/>
      <c r="I69" s="385"/>
      <c r="J69" s="259" t="s">
        <v>476</v>
      </c>
      <c r="K69" s="294" t="s">
        <v>637</v>
      </c>
      <c r="L69" s="262" t="s">
        <v>132</v>
      </c>
      <c r="M69" s="277">
        <v>0.2</v>
      </c>
      <c r="N69" s="278">
        <v>3</v>
      </c>
      <c r="O69" s="324"/>
      <c r="P69" s="430" t="str">
        <f t="shared" si="0"/>
        <v/>
      </c>
      <c r="Q69" s="429">
        <f>IFERROR(IF('Medidas EE'!$L69="SI",$M69*IF($K69=Listas!$W$4,VLOOKUP('Medidas EE'!$C69,'Resumen usos'!$H$22:$J$32,2,FALSE),IF($K69=Listas!$W$3,VLOOKUP('Medidas EE'!$C69,'Resumen usos'!$H$36:$J$46,2,FALSE),IF($K69=Listas!$W$2,VLOOKUP('Medidas EE'!$C69,'Usos Electricidad'!$AI$5:$AK$15,2,FALSE),"S/I"))),"N/A"),"S/I")</f>
        <v>0</v>
      </c>
      <c r="R69" s="429">
        <f>IFERROR(IF('Medidas EE'!$L69="SI",$M69*IF($K69=Listas!$W$4,VLOOKUP('Medidas EE'!$C69,'Resumen usos'!$H$22:$J$32,3,FALSE),IF($K69=Listas!$W$3,VLOOKUP('Medidas EE'!$C69,'Resumen usos'!$H$36:$J$46,3,FALSE),IF($K69=Listas!$W$2,VLOOKUP('Medidas EE'!$C69,'Usos Electricidad'!$AI$5:$AK$15,3,FALSE),"S/I"))),"N/A"),"S/I")</f>
        <v>0</v>
      </c>
    </row>
    <row r="70" spans="1:18" ht="15" customHeight="1" x14ac:dyDescent="0.25">
      <c r="A70" s="390"/>
      <c r="B70" s="257">
        <v>6</v>
      </c>
      <c r="C70" s="258" t="s">
        <v>575</v>
      </c>
      <c r="D70" s="383" t="s">
        <v>586</v>
      </c>
      <c r="E70" s="384"/>
      <c r="F70" s="385"/>
      <c r="G70" s="383" t="s">
        <v>587</v>
      </c>
      <c r="H70" s="384"/>
      <c r="I70" s="385"/>
      <c r="J70" s="259" t="s">
        <v>481</v>
      </c>
      <c r="K70" s="294" t="s">
        <v>637</v>
      </c>
      <c r="L70" s="262" t="s">
        <v>132</v>
      </c>
      <c r="M70" s="277">
        <v>5.8000000000000003E-2</v>
      </c>
      <c r="N70" s="278">
        <v>1</v>
      </c>
      <c r="O70" s="324"/>
      <c r="P70" s="430" t="str">
        <f t="shared" si="0"/>
        <v/>
      </c>
      <c r="Q70" s="429">
        <f>IFERROR(IF('Medidas EE'!$L70="SI",$M70*IF($K70=Listas!$W$4,VLOOKUP('Medidas EE'!$C70,'Resumen usos'!$H$22:$J$32,2,FALSE),IF($K70=Listas!$W$3,VLOOKUP('Medidas EE'!$C70,'Resumen usos'!$H$36:$J$46,2,FALSE),IF($K70=Listas!$W$2,VLOOKUP('Medidas EE'!$C70,'Usos Electricidad'!$AI$5:$AK$15,2,FALSE),"S/I"))),"N/A"),"S/I")</f>
        <v>0</v>
      </c>
      <c r="R70" s="429">
        <f>IFERROR(IF('Medidas EE'!$L70="SI",$M70*IF($K70=Listas!$W$4,VLOOKUP('Medidas EE'!$C70,'Resumen usos'!$H$22:$J$32,3,FALSE),IF($K70=Listas!$W$3,VLOOKUP('Medidas EE'!$C70,'Resumen usos'!$H$36:$J$46,3,FALSE),IF($K70=Listas!$W$2,VLOOKUP('Medidas EE'!$C70,'Usos Electricidad'!$AI$5:$AK$15,3,FALSE),"S/I"))),"N/A"),"S/I")</f>
        <v>0</v>
      </c>
    </row>
    <row r="71" spans="1:18" ht="45" x14ac:dyDescent="0.25">
      <c r="A71" s="390"/>
      <c r="B71" s="257">
        <v>7</v>
      </c>
      <c r="C71" s="258" t="s">
        <v>575</v>
      </c>
      <c r="D71" s="383" t="s">
        <v>588</v>
      </c>
      <c r="E71" s="384"/>
      <c r="F71" s="385"/>
      <c r="G71" s="383" t="s">
        <v>589</v>
      </c>
      <c r="H71" s="384"/>
      <c r="I71" s="385"/>
      <c r="J71" s="259" t="s">
        <v>476</v>
      </c>
      <c r="K71" s="294" t="s">
        <v>637</v>
      </c>
      <c r="L71" s="262" t="s">
        <v>132</v>
      </c>
      <c r="M71" s="277">
        <v>0.17</v>
      </c>
      <c r="N71" s="278">
        <v>3</v>
      </c>
      <c r="O71" s="324"/>
      <c r="P71" s="430" t="str">
        <f t="shared" si="0"/>
        <v/>
      </c>
      <c r="Q71" s="429">
        <f>IFERROR(IF('Medidas EE'!$L71="SI",$M71*IF($K71=Listas!$W$4,VLOOKUP('Medidas EE'!$C71,'Resumen usos'!$H$22:$J$32,2,FALSE),IF($K71=Listas!$W$3,VLOOKUP('Medidas EE'!$C71,'Resumen usos'!$H$36:$J$46,2,FALSE),IF($K71=Listas!$W$2,VLOOKUP('Medidas EE'!$C71,'Usos Electricidad'!$AI$5:$AK$15,2,FALSE),"S/I"))),"N/A"),"S/I")</f>
        <v>0</v>
      </c>
      <c r="R71" s="429">
        <f>IFERROR(IF('Medidas EE'!$L71="SI",$M71*IF($K71=Listas!$W$4,VLOOKUP('Medidas EE'!$C71,'Resumen usos'!$H$22:$J$32,3,FALSE),IF($K71=Listas!$W$3,VLOOKUP('Medidas EE'!$C71,'Resumen usos'!$H$36:$J$46,3,FALSE),IF($K71=Listas!$W$2,VLOOKUP('Medidas EE'!$C71,'Usos Electricidad'!$AI$5:$AK$15,3,FALSE),"S/I"))),"N/A"),"S/I")</f>
        <v>0</v>
      </c>
    </row>
    <row r="72" spans="1:18" ht="45" x14ac:dyDescent="0.25">
      <c r="A72" s="390"/>
      <c r="B72" s="257">
        <v>8</v>
      </c>
      <c r="C72" s="258" t="s">
        <v>575</v>
      </c>
      <c r="D72" s="383" t="s">
        <v>590</v>
      </c>
      <c r="E72" s="384"/>
      <c r="F72" s="385"/>
      <c r="G72" s="383" t="s">
        <v>591</v>
      </c>
      <c r="H72" s="384"/>
      <c r="I72" s="385"/>
      <c r="J72" s="259" t="s">
        <v>476</v>
      </c>
      <c r="K72" s="294" t="s">
        <v>637</v>
      </c>
      <c r="L72" s="262" t="s">
        <v>132</v>
      </c>
      <c r="M72" s="277">
        <v>0.06</v>
      </c>
      <c r="N72" s="278">
        <v>3</v>
      </c>
      <c r="O72" s="324"/>
      <c r="P72" s="430" t="str">
        <f t="shared" si="0"/>
        <v/>
      </c>
      <c r="Q72" s="429">
        <f>IFERROR(IF('Medidas EE'!$L72="SI",$M72*IF($K72=Listas!$W$4,VLOOKUP('Medidas EE'!$C72,'Resumen usos'!$H$22:$J$32,2,FALSE),IF($K72=Listas!$W$3,VLOOKUP('Medidas EE'!$C72,'Resumen usos'!$H$36:$J$46,2,FALSE),IF($K72=Listas!$W$2,VLOOKUP('Medidas EE'!$C72,'Usos Electricidad'!$AI$5:$AK$15,2,FALSE),"S/I"))),"N/A"),"S/I")</f>
        <v>0</v>
      </c>
      <c r="R72" s="429">
        <f>IFERROR(IF('Medidas EE'!$L72="SI",$M72*IF($K72=Listas!$W$4,VLOOKUP('Medidas EE'!$C72,'Resumen usos'!$H$22:$J$32,3,FALSE),IF($K72=Listas!$W$3,VLOOKUP('Medidas EE'!$C72,'Resumen usos'!$H$36:$J$46,3,FALSE),IF($K72=Listas!$W$2,VLOOKUP('Medidas EE'!$C72,'Usos Electricidad'!$AI$5:$AK$15,3,FALSE),"S/I"))),"N/A"),"S/I")</f>
        <v>0</v>
      </c>
    </row>
    <row r="73" spans="1:18" ht="45" x14ac:dyDescent="0.25">
      <c r="A73" s="390"/>
      <c r="B73" s="257">
        <v>9</v>
      </c>
      <c r="C73" s="258" t="s">
        <v>575</v>
      </c>
      <c r="D73" s="383" t="s">
        <v>592</v>
      </c>
      <c r="E73" s="384"/>
      <c r="F73" s="385"/>
      <c r="G73" s="383" t="s">
        <v>593</v>
      </c>
      <c r="H73" s="384"/>
      <c r="I73" s="385"/>
      <c r="J73" s="259" t="s">
        <v>476</v>
      </c>
      <c r="K73" s="294" t="s">
        <v>637</v>
      </c>
      <c r="L73" s="262" t="s">
        <v>132</v>
      </c>
      <c r="M73" s="277">
        <v>0.2</v>
      </c>
      <c r="N73" s="278">
        <v>3</v>
      </c>
      <c r="O73" s="324"/>
      <c r="P73" s="430" t="str">
        <f t="shared" si="0"/>
        <v/>
      </c>
      <c r="Q73" s="429">
        <f>IFERROR(IF('Medidas EE'!$L73="SI",$M73*IF($K73=Listas!$W$4,VLOOKUP('Medidas EE'!$C73,'Resumen usos'!$H$22:$J$32,2,FALSE),IF($K73=Listas!$W$3,VLOOKUP('Medidas EE'!$C73,'Resumen usos'!$H$36:$J$46,2,FALSE),IF($K73=Listas!$W$2,VLOOKUP('Medidas EE'!$C73,'Usos Electricidad'!$AI$5:$AK$15,2,FALSE),"S/I"))),"N/A"),"S/I")</f>
        <v>0</v>
      </c>
      <c r="R73" s="429">
        <f>IFERROR(IF('Medidas EE'!$L73="SI",$M73*IF($K73=Listas!$W$4,VLOOKUP('Medidas EE'!$C73,'Resumen usos'!$H$22:$J$32,3,FALSE),IF($K73=Listas!$W$3,VLOOKUP('Medidas EE'!$C73,'Resumen usos'!$H$36:$J$46,3,FALSE),IF($K73=Listas!$W$2,VLOOKUP('Medidas EE'!$C73,'Usos Electricidad'!$AI$5:$AK$15,3,FALSE),"S/I"))),"N/A"),"S/I")</f>
        <v>0</v>
      </c>
    </row>
    <row r="74" spans="1:18" ht="30" x14ac:dyDescent="0.25">
      <c r="A74" s="390"/>
      <c r="B74" s="254">
        <v>1</v>
      </c>
      <c r="C74" s="255" t="s">
        <v>594</v>
      </c>
      <c r="D74" s="383" t="s">
        <v>595</v>
      </c>
      <c r="E74" s="384"/>
      <c r="F74" s="385"/>
      <c r="G74" s="383" t="s">
        <v>596</v>
      </c>
      <c r="H74" s="384"/>
      <c r="I74" s="385"/>
      <c r="J74" s="256" t="s">
        <v>481</v>
      </c>
      <c r="K74" s="293" t="s">
        <v>637</v>
      </c>
      <c r="L74" s="262" t="s">
        <v>132</v>
      </c>
      <c r="M74" s="275">
        <v>5.0280907033387487E-2</v>
      </c>
      <c r="N74" s="276">
        <v>1</v>
      </c>
      <c r="O74" s="324">
        <v>367968.14953350509</v>
      </c>
      <c r="P74" s="430">
        <f t="shared" si="0"/>
        <v>0.92</v>
      </c>
      <c r="Q74" s="429">
        <f>IFERROR(IF('Medidas EE'!$L74="SI",$M74*IF($K74=Listas!$W$4,VLOOKUP('Medidas EE'!$C74,'Resumen usos'!$H$22:$J$32,2,FALSE),IF($K74=Listas!$W$3,VLOOKUP('Medidas EE'!$C74,'Resumen usos'!$H$36:$J$46,2,FALSE),IF($K74=Listas!$W$2,VLOOKUP('Medidas EE'!$C74,'Usos Electricidad'!$AI$5:$AK$15,2,FALSE),"S/I"))),"N/A"),"S/I")</f>
        <v>4409.1327377577491</v>
      </c>
      <c r="R74" s="429">
        <f>IFERROR(IF('Medidas EE'!$L74="SI",$M74*IF($K74=Listas!$W$4,VLOOKUP('Medidas EE'!$C74,'Resumen usos'!$H$22:$J$32,3,FALSE),IF($K74=Listas!$W$3,VLOOKUP('Medidas EE'!$C74,'Resumen usos'!$H$36:$J$46,3,FALSE),IF($K74=Listas!$W$2,VLOOKUP('Medidas EE'!$C74,'Usos Electricidad'!$AI$5:$AK$15,3,FALSE),"S/I"))),"N/A"),"S/I")</f>
        <v>399965.37992772291</v>
      </c>
    </row>
    <row r="75" spans="1:18" ht="45" x14ac:dyDescent="0.25">
      <c r="A75" s="390"/>
      <c r="B75" s="254">
        <v>2</v>
      </c>
      <c r="C75" s="255" t="s">
        <v>594</v>
      </c>
      <c r="D75" s="383" t="s">
        <v>597</v>
      </c>
      <c r="E75" s="384"/>
      <c r="F75" s="385"/>
      <c r="G75" s="383" t="s">
        <v>598</v>
      </c>
      <c r="H75" s="384"/>
      <c r="I75" s="385"/>
      <c r="J75" s="256" t="s">
        <v>476</v>
      </c>
      <c r="K75" s="293" t="s">
        <v>637</v>
      </c>
      <c r="L75" s="262" t="s">
        <v>132</v>
      </c>
      <c r="M75" s="275">
        <v>0.01</v>
      </c>
      <c r="N75" s="276">
        <v>3</v>
      </c>
      <c r="O75" s="324">
        <v>103639.29752593322</v>
      </c>
      <c r="P75" s="430">
        <f t="shared" si="0"/>
        <v>1.302882235669677</v>
      </c>
      <c r="Q75" s="429">
        <f>IFERROR(IF('Medidas EE'!$L75="SI",$M75*IF($K75=Listas!$W$4,VLOOKUP('Medidas EE'!$C75,'Resumen usos'!$H$22:$J$32,2,FALSE),IF($K75=Listas!$W$3,VLOOKUP('Medidas EE'!$C75,'Resumen usos'!$H$36:$J$46,2,FALSE),IF($K75=Listas!$W$2,VLOOKUP('Medidas EE'!$C75,'Usos Electricidad'!$AI$5:$AK$15,2,FALSE),"S/I"))),"N/A"),"S/I")</f>
        <v>876.9</v>
      </c>
      <c r="R75" s="429">
        <f>IFERROR(IF('Medidas EE'!$L75="SI",$M75*IF($K75=Listas!$W$4,VLOOKUP('Medidas EE'!$C75,'Resumen usos'!$H$22:$J$32,3,FALSE),IF($K75=Listas!$W$3,VLOOKUP('Medidas EE'!$C75,'Resumen usos'!$H$36:$J$46,3,FALSE),IF($K75=Listas!$W$2,VLOOKUP('Medidas EE'!$C75,'Usos Electricidad'!$AI$5:$AK$15,3,FALSE),"S/I"))),"N/A"),"S/I")</f>
        <v>79546.174388250045</v>
      </c>
    </row>
    <row r="76" spans="1:18" ht="30" x14ac:dyDescent="0.25">
      <c r="A76" s="390"/>
      <c r="B76" s="254">
        <v>3</v>
      </c>
      <c r="C76" s="255" t="s">
        <v>594</v>
      </c>
      <c r="D76" s="383" t="s">
        <v>599</v>
      </c>
      <c r="E76" s="384"/>
      <c r="F76" s="385"/>
      <c r="G76" s="383" t="s">
        <v>600</v>
      </c>
      <c r="H76" s="384"/>
      <c r="I76" s="385"/>
      <c r="J76" s="256" t="s">
        <v>473</v>
      </c>
      <c r="K76" s="293" t="s">
        <v>637</v>
      </c>
      <c r="L76" s="262" t="s">
        <v>132</v>
      </c>
      <c r="M76" s="275">
        <v>2.7579471760232638E-2</v>
      </c>
      <c r="N76" s="276">
        <v>2</v>
      </c>
      <c r="O76" s="324">
        <v>302750.12288418901</v>
      </c>
      <c r="P76" s="430">
        <f t="shared" si="0"/>
        <v>1.38</v>
      </c>
      <c r="Q76" s="429">
        <f>IFERROR(IF('Medidas EE'!$L76="SI",$M76*IF($K76=Listas!$W$4,VLOOKUP('Medidas EE'!$C76,'Resumen usos'!$H$22:$J$32,2,FALSE),IF($K76=Listas!$W$3,VLOOKUP('Medidas EE'!$C76,'Resumen usos'!$H$36:$J$46,2,FALSE),IF($K76=Listas!$W$2,VLOOKUP('Medidas EE'!$C76,'Usos Electricidad'!$AI$5:$AK$15,2,FALSE),"S/I"))),"N/A"),"S/I")</f>
        <v>2418.4438786547998</v>
      </c>
      <c r="R76" s="429">
        <f>IFERROR(IF('Medidas EE'!$L76="SI",$M76*IF($K76=Listas!$W$4,VLOOKUP('Medidas EE'!$C76,'Resumen usos'!$H$22:$J$32,3,FALSE),IF($K76=Listas!$W$3,VLOOKUP('Medidas EE'!$C76,'Resumen usos'!$H$36:$J$46,3,FALSE),IF($K76=Listas!$W$2,VLOOKUP('Medidas EE'!$C76,'Usos Electricidad'!$AI$5:$AK$15,3,FALSE),"S/I"))),"N/A"),"S/I")</f>
        <v>219384.14701752827</v>
      </c>
    </row>
    <row r="77" spans="1:18" ht="30" x14ac:dyDescent="0.25">
      <c r="A77" s="390"/>
      <c r="B77" s="254">
        <v>4</v>
      </c>
      <c r="C77" s="255" t="s">
        <v>594</v>
      </c>
      <c r="D77" s="383" t="s">
        <v>601</v>
      </c>
      <c r="E77" s="384"/>
      <c r="F77" s="385"/>
      <c r="G77" s="383" t="s">
        <v>602</v>
      </c>
      <c r="H77" s="384"/>
      <c r="I77" s="385"/>
      <c r="J77" s="256" t="s">
        <v>481</v>
      </c>
      <c r="K77" s="293" t="s">
        <v>637</v>
      </c>
      <c r="L77" s="262" t="s">
        <v>132</v>
      </c>
      <c r="M77" s="275">
        <v>0.1</v>
      </c>
      <c r="N77" s="276">
        <v>1</v>
      </c>
      <c r="O77" s="324">
        <v>405685.48938007525</v>
      </c>
      <c r="P77" s="430">
        <f t="shared" si="0"/>
        <v>0.51</v>
      </c>
      <c r="Q77" s="429">
        <f>IFERROR(IF('Medidas EE'!$L77="SI",$M77*IF($K77=Listas!$W$4,VLOOKUP('Medidas EE'!$C77,'Resumen usos'!$H$22:$J$32,2,FALSE),IF($K77=Listas!$W$3,VLOOKUP('Medidas EE'!$C77,'Resumen usos'!$H$36:$J$46,2,FALSE),IF($K77=Listas!$W$2,VLOOKUP('Medidas EE'!$C77,'Usos Electricidad'!$AI$5:$AK$15,2,FALSE),"S/I"))),"N/A"),"S/I")</f>
        <v>8769</v>
      </c>
      <c r="R77" s="429">
        <f>IFERROR(IF('Medidas EE'!$L77="SI",$M77*IF($K77=Listas!$W$4,VLOOKUP('Medidas EE'!$C77,'Resumen usos'!$H$22:$J$32,3,FALSE),IF($K77=Listas!$W$3,VLOOKUP('Medidas EE'!$C77,'Resumen usos'!$H$36:$J$46,3,FALSE),IF($K77=Listas!$W$2,VLOOKUP('Medidas EE'!$C77,'Usos Electricidad'!$AI$5:$AK$15,3,FALSE),"S/I"))),"N/A"),"S/I")</f>
        <v>795461.74388250045</v>
      </c>
    </row>
    <row r="78" spans="1:18" ht="30" x14ac:dyDescent="0.25">
      <c r="A78" s="390"/>
      <c r="B78" s="254">
        <v>5</v>
      </c>
      <c r="C78" s="255" t="s">
        <v>594</v>
      </c>
      <c r="D78" s="383" t="s">
        <v>603</v>
      </c>
      <c r="E78" s="384"/>
      <c r="F78" s="385"/>
      <c r="G78" s="383" t="s">
        <v>604</v>
      </c>
      <c r="H78" s="384"/>
      <c r="I78" s="385"/>
      <c r="J78" s="256" t="s">
        <v>473</v>
      </c>
      <c r="K78" s="293" t="s">
        <v>637</v>
      </c>
      <c r="L78" s="262" t="s">
        <v>132</v>
      </c>
      <c r="M78" s="275">
        <v>0.18</v>
      </c>
      <c r="N78" s="276">
        <v>2</v>
      </c>
      <c r="O78" s="324">
        <v>763265.50847739819</v>
      </c>
      <c r="P78" s="430">
        <f t="shared" si="0"/>
        <v>0.53306949939404003</v>
      </c>
      <c r="Q78" s="429">
        <f>IFERROR(IF('Medidas EE'!$L78="SI",$M78*IF($K78=Listas!$W$4,VLOOKUP('Medidas EE'!$C78,'Resumen usos'!$H$22:$J$32,2,FALSE),IF($K78=Listas!$W$3,VLOOKUP('Medidas EE'!$C78,'Resumen usos'!$H$36:$J$46,2,FALSE),IF($K78=Listas!$W$2,VLOOKUP('Medidas EE'!$C78,'Usos Electricidad'!$AI$5:$AK$15,2,FALSE),"S/I"))),"N/A"),"S/I")</f>
        <v>15784.199999999999</v>
      </c>
      <c r="R78" s="429">
        <f>IFERROR(IF('Medidas EE'!$L78="SI",$M78*IF($K78=Listas!$W$4,VLOOKUP('Medidas EE'!$C78,'Resumen usos'!$H$22:$J$32,3,FALSE),IF($K78=Listas!$W$3,VLOOKUP('Medidas EE'!$C78,'Resumen usos'!$H$36:$J$46,3,FALSE),IF($K78=Listas!$W$2,VLOOKUP('Medidas EE'!$C78,'Usos Electricidad'!$AI$5:$AK$15,3,FALSE),"S/I"))),"N/A"),"S/I")</f>
        <v>1431831.1389885007</v>
      </c>
    </row>
    <row r="79" spans="1:18" ht="30" x14ac:dyDescent="0.25">
      <c r="A79" s="390"/>
      <c r="B79" s="254">
        <v>6</v>
      </c>
      <c r="C79" s="255" t="s">
        <v>594</v>
      </c>
      <c r="D79" s="383" t="s">
        <v>605</v>
      </c>
      <c r="E79" s="384"/>
      <c r="F79" s="385"/>
      <c r="G79" s="383" t="s">
        <v>638</v>
      </c>
      <c r="H79" s="384"/>
      <c r="I79" s="385"/>
      <c r="J79" s="256" t="s">
        <v>481</v>
      </c>
      <c r="K79" s="293" t="s">
        <v>637</v>
      </c>
      <c r="L79" s="262" t="s">
        <v>132</v>
      </c>
      <c r="M79" s="275">
        <v>0.01</v>
      </c>
      <c r="N79" s="276">
        <v>1</v>
      </c>
      <c r="O79" s="324">
        <v>70000.633461660036</v>
      </c>
      <c r="P79" s="430">
        <f t="shared" si="0"/>
        <v>0.88</v>
      </c>
      <c r="Q79" s="429">
        <f>IFERROR(IF('Medidas EE'!$L79="SI",$M79*IF($K79=Listas!$W$4,VLOOKUP('Medidas EE'!$C79,'Resumen usos'!$H$22:$J$32,2,FALSE),IF($K79=Listas!$W$3,VLOOKUP('Medidas EE'!$C79,'Resumen usos'!$H$36:$J$46,2,FALSE),IF($K79=Listas!$W$2,VLOOKUP('Medidas EE'!$C79,'Usos Electricidad'!$AI$5:$AK$15,2,FALSE),"S/I"))),"N/A"),"S/I")</f>
        <v>876.9</v>
      </c>
      <c r="R79" s="429">
        <f>IFERROR(IF('Medidas EE'!$L79="SI",$M79*IF($K79=Listas!$W$4,VLOOKUP('Medidas EE'!$C79,'Resumen usos'!$H$22:$J$32,3,FALSE),IF($K79=Listas!$W$3,VLOOKUP('Medidas EE'!$C79,'Resumen usos'!$H$36:$J$46,3,FALSE),IF($K79=Listas!$W$2,VLOOKUP('Medidas EE'!$C79,'Usos Electricidad'!$AI$5:$AK$15,3,FALSE),"S/I"))),"N/A"),"S/I")</f>
        <v>79546.174388250045</v>
      </c>
    </row>
    <row r="80" spans="1:18" ht="30" x14ac:dyDescent="0.25">
      <c r="A80" s="390"/>
      <c r="B80" s="254">
        <v>7</v>
      </c>
      <c r="C80" s="255" t="s">
        <v>594</v>
      </c>
      <c r="D80" s="383" t="s">
        <v>606</v>
      </c>
      <c r="E80" s="384"/>
      <c r="F80" s="385"/>
      <c r="G80" s="383" t="s">
        <v>607</v>
      </c>
      <c r="H80" s="384"/>
      <c r="I80" s="385"/>
      <c r="J80" s="256" t="s">
        <v>473</v>
      </c>
      <c r="K80" s="293" t="s">
        <v>637</v>
      </c>
      <c r="L80" s="262" t="s">
        <v>132</v>
      </c>
      <c r="M80" s="275">
        <v>0.13</v>
      </c>
      <c r="N80" s="276">
        <v>2</v>
      </c>
      <c r="O80" s="324">
        <v>434322.11215984519</v>
      </c>
      <c r="P80" s="430">
        <f t="shared" ref="P80:P95" si="1">IF(O80="","",O80/R80)</f>
        <v>0.42</v>
      </c>
      <c r="Q80" s="429">
        <f>IFERROR(IF('Medidas EE'!$L80="SI",$M80*IF($K80=Listas!$W$4,VLOOKUP('Medidas EE'!$C80,'Resumen usos'!$H$22:$J$32,2,FALSE),IF($K80=Listas!$W$3,VLOOKUP('Medidas EE'!$C80,'Resumen usos'!$H$36:$J$46,2,FALSE),IF($K80=Listas!$W$2,VLOOKUP('Medidas EE'!$C80,'Usos Electricidad'!$AI$5:$AK$15,2,FALSE),"S/I"))),"N/A"),"S/I")</f>
        <v>11399.7</v>
      </c>
      <c r="R80" s="429">
        <f>IFERROR(IF('Medidas EE'!$L80="SI",$M80*IF($K80=Listas!$W$4,VLOOKUP('Medidas EE'!$C80,'Resumen usos'!$H$22:$J$32,3,FALSE),IF($K80=Listas!$W$3,VLOOKUP('Medidas EE'!$C80,'Resumen usos'!$H$36:$J$46,3,FALSE),IF($K80=Listas!$W$2,VLOOKUP('Medidas EE'!$C80,'Usos Electricidad'!$AI$5:$AK$15,3,FALSE),"S/I"))),"N/A"),"S/I")</f>
        <v>1034100.2670472505</v>
      </c>
    </row>
    <row r="81" spans="1:18" ht="30" x14ac:dyDescent="0.25">
      <c r="A81" s="390"/>
      <c r="B81" s="254">
        <v>8</v>
      </c>
      <c r="C81" s="255" t="s">
        <v>594</v>
      </c>
      <c r="D81" s="383" t="s">
        <v>608</v>
      </c>
      <c r="E81" s="384"/>
      <c r="F81" s="385"/>
      <c r="G81" s="383" t="s">
        <v>609</v>
      </c>
      <c r="H81" s="384"/>
      <c r="I81" s="385"/>
      <c r="J81" s="256" t="s">
        <v>473</v>
      </c>
      <c r="K81" s="293" t="s">
        <v>637</v>
      </c>
      <c r="L81" s="262" t="s">
        <v>132</v>
      </c>
      <c r="M81" s="275">
        <v>0.1</v>
      </c>
      <c r="N81" s="276">
        <v>2</v>
      </c>
      <c r="O81" s="324">
        <v>700006.33461660042</v>
      </c>
      <c r="P81" s="430">
        <f t="shared" si="1"/>
        <v>0.88</v>
      </c>
      <c r="Q81" s="429">
        <f>IFERROR(IF('Medidas EE'!$L81="SI",$M81*IF($K81=Listas!$W$4,VLOOKUP('Medidas EE'!$C81,'Resumen usos'!$H$22:$J$32,2,FALSE),IF($K81=Listas!$W$3,VLOOKUP('Medidas EE'!$C81,'Resumen usos'!$H$36:$J$46,2,FALSE),IF($K81=Listas!$W$2,VLOOKUP('Medidas EE'!$C81,'Usos Electricidad'!$AI$5:$AK$15,2,FALSE),"S/I"))),"N/A"),"S/I")</f>
        <v>8769</v>
      </c>
      <c r="R81" s="429">
        <f>IFERROR(IF('Medidas EE'!$L81="SI",$M81*IF($K81=Listas!$W$4,VLOOKUP('Medidas EE'!$C81,'Resumen usos'!$H$22:$J$32,3,FALSE),IF($K81=Listas!$W$3,VLOOKUP('Medidas EE'!$C81,'Resumen usos'!$H$36:$J$46,3,FALSE),IF($K81=Listas!$W$2,VLOOKUP('Medidas EE'!$C81,'Usos Electricidad'!$AI$5:$AK$15,3,FALSE),"S/I"))),"N/A"),"S/I")</f>
        <v>795461.74388250045</v>
      </c>
    </row>
    <row r="82" spans="1:18" ht="30" x14ac:dyDescent="0.25">
      <c r="A82" s="390"/>
      <c r="B82" s="254">
        <v>9</v>
      </c>
      <c r="C82" s="255" t="s">
        <v>594</v>
      </c>
      <c r="D82" s="383" t="s">
        <v>610</v>
      </c>
      <c r="E82" s="384"/>
      <c r="F82" s="385"/>
      <c r="G82" s="383" t="s">
        <v>611</v>
      </c>
      <c r="H82" s="384"/>
      <c r="I82" s="385"/>
      <c r="J82" s="256" t="s">
        <v>473</v>
      </c>
      <c r="K82" s="293" t="s">
        <v>637</v>
      </c>
      <c r="L82" s="262" t="s">
        <v>132</v>
      </c>
      <c r="M82" s="275">
        <v>4.2999999999999997E-2</v>
      </c>
      <c r="N82" s="276">
        <v>2</v>
      </c>
      <c r="O82" s="324">
        <v>218911.07191646408</v>
      </c>
      <c r="P82" s="430">
        <f t="shared" si="1"/>
        <v>0.64</v>
      </c>
      <c r="Q82" s="429">
        <f>IFERROR(IF('Medidas EE'!$L82="SI",$M82*IF($K82=Listas!$W$4,VLOOKUP('Medidas EE'!$C82,'Resumen usos'!$H$22:$J$32,2,FALSE),IF($K82=Listas!$W$3,VLOOKUP('Medidas EE'!$C82,'Resumen usos'!$H$36:$J$46,2,FALSE),IF($K82=Listas!$W$2,VLOOKUP('Medidas EE'!$C82,'Usos Electricidad'!$AI$5:$AK$15,2,FALSE),"S/I"))),"N/A"),"S/I")</f>
        <v>3770.6699999999996</v>
      </c>
      <c r="R82" s="429">
        <f>IFERROR(IF('Medidas EE'!$L82="SI",$M82*IF($K82=Listas!$W$4,VLOOKUP('Medidas EE'!$C82,'Resumen usos'!$H$22:$J$32,3,FALSE),IF($K82=Listas!$W$3,VLOOKUP('Medidas EE'!$C82,'Resumen usos'!$H$36:$J$46,3,FALSE),IF($K82=Listas!$W$2,VLOOKUP('Medidas EE'!$C82,'Usos Electricidad'!$AI$5:$AK$15,3,FALSE),"S/I"))),"N/A"),"S/I")</f>
        <v>342048.54986947513</v>
      </c>
    </row>
    <row r="83" spans="1:18" ht="30" x14ac:dyDescent="0.25">
      <c r="A83" s="390"/>
      <c r="B83" s="254">
        <v>10</v>
      </c>
      <c r="C83" s="255" t="s">
        <v>594</v>
      </c>
      <c r="D83" s="383" t="s">
        <v>612</v>
      </c>
      <c r="E83" s="384"/>
      <c r="F83" s="385"/>
      <c r="G83" s="383" t="s">
        <v>613</v>
      </c>
      <c r="H83" s="384"/>
      <c r="I83" s="385"/>
      <c r="J83" s="256" t="s">
        <v>473</v>
      </c>
      <c r="K83" s="293" t="s">
        <v>637</v>
      </c>
      <c r="L83" s="262" t="s">
        <v>132</v>
      </c>
      <c r="M83" s="275">
        <v>0.08</v>
      </c>
      <c r="N83" s="276">
        <v>2</v>
      </c>
      <c r="O83" s="324">
        <v>305457.30965088017</v>
      </c>
      <c r="P83" s="430">
        <f t="shared" si="1"/>
        <v>0.48</v>
      </c>
      <c r="Q83" s="429">
        <f>IFERROR(IF('Medidas EE'!$L83="SI",$M83*IF($K83=Listas!$W$4,VLOOKUP('Medidas EE'!$C83,'Resumen usos'!$H$22:$J$32,2,FALSE),IF($K83=Listas!$W$3,VLOOKUP('Medidas EE'!$C83,'Resumen usos'!$H$36:$J$46,2,FALSE),IF($K83=Listas!$W$2,VLOOKUP('Medidas EE'!$C83,'Usos Electricidad'!$AI$5:$AK$15,2,FALSE),"S/I"))),"N/A"),"S/I")</f>
        <v>7015.2</v>
      </c>
      <c r="R83" s="429">
        <f>IFERROR(IF('Medidas EE'!$L83="SI",$M83*IF($K83=Listas!$W$4,VLOOKUP('Medidas EE'!$C83,'Resumen usos'!$H$22:$J$32,3,FALSE),IF($K83=Listas!$W$3,VLOOKUP('Medidas EE'!$C83,'Resumen usos'!$H$36:$J$46,3,FALSE),IF($K83=Listas!$W$2,VLOOKUP('Medidas EE'!$C83,'Usos Electricidad'!$AI$5:$AK$15,3,FALSE),"S/I"))),"N/A"),"S/I")</f>
        <v>636369.39510600036</v>
      </c>
    </row>
    <row r="84" spans="1:18" ht="45" x14ac:dyDescent="0.25">
      <c r="A84" s="391"/>
      <c r="B84" s="254">
        <v>11</v>
      </c>
      <c r="C84" s="255" t="s">
        <v>594</v>
      </c>
      <c r="D84" s="383" t="s">
        <v>592</v>
      </c>
      <c r="E84" s="384"/>
      <c r="F84" s="385"/>
      <c r="G84" s="383" t="s">
        <v>614</v>
      </c>
      <c r="H84" s="384"/>
      <c r="I84" s="385"/>
      <c r="J84" s="256" t="s">
        <v>476</v>
      </c>
      <c r="K84" s="293" t="s">
        <v>637</v>
      </c>
      <c r="L84" s="262" t="s">
        <v>132</v>
      </c>
      <c r="M84" s="275">
        <v>0.2</v>
      </c>
      <c r="N84" s="276">
        <v>3</v>
      </c>
      <c r="O84" s="324">
        <v>2017561.4498229478</v>
      </c>
      <c r="P84" s="430">
        <f t="shared" si="1"/>
        <v>1.2681700065018882</v>
      </c>
      <c r="Q84" s="429">
        <f>IFERROR(IF('Medidas EE'!$L84="SI",$M84*IF($K84=Listas!$W$4,VLOOKUP('Medidas EE'!$C84,'Resumen usos'!$H$22:$J$32,2,FALSE),IF($K84=Listas!$W$3,VLOOKUP('Medidas EE'!$C84,'Resumen usos'!$H$36:$J$46,2,FALSE),IF($K84=Listas!$W$2,VLOOKUP('Medidas EE'!$C84,'Usos Electricidad'!$AI$5:$AK$15,2,FALSE),"S/I"))),"N/A"),"S/I")</f>
        <v>17538</v>
      </c>
      <c r="R84" s="429">
        <f>IFERROR(IF('Medidas EE'!$L84="SI",$M84*IF($K84=Listas!$W$4,VLOOKUP('Medidas EE'!$C84,'Resumen usos'!$H$22:$J$32,3,FALSE),IF($K84=Listas!$W$3,VLOOKUP('Medidas EE'!$C84,'Resumen usos'!$H$36:$J$46,3,FALSE),IF($K84=Listas!$W$2,VLOOKUP('Medidas EE'!$C84,'Usos Electricidad'!$AI$5:$AK$15,3,FALSE),"S/I"))),"N/A"),"S/I")</f>
        <v>1590923.4877650009</v>
      </c>
    </row>
    <row r="85" spans="1:18" ht="15" customHeight="1" x14ac:dyDescent="0.25">
      <c r="A85" s="389" t="s">
        <v>615</v>
      </c>
      <c r="B85" s="260">
        <v>1</v>
      </c>
      <c r="C85" s="260" t="s">
        <v>616</v>
      </c>
      <c r="D85" s="383" t="s">
        <v>617</v>
      </c>
      <c r="E85" s="384"/>
      <c r="F85" s="385"/>
      <c r="G85" s="383" t="s">
        <v>618</v>
      </c>
      <c r="H85" s="384"/>
      <c r="I85" s="385"/>
      <c r="J85" s="261" t="s">
        <v>481</v>
      </c>
      <c r="K85" s="295" t="s">
        <v>615</v>
      </c>
      <c r="L85" s="262" t="s">
        <v>132</v>
      </c>
      <c r="M85" s="279">
        <v>3.6999999999999998E-2</v>
      </c>
      <c r="N85" s="280">
        <v>1</v>
      </c>
      <c r="O85" s="324">
        <v>3221740.3849155405</v>
      </c>
      <c r="P85" s="430">
        <f t="shared" si="1"/>
        <v>0.34</v>
      </c>
      <c r="Q85" s="429">
        <f>IFERROR(IF('Medidas EE'!$L85="SI",$M85*'Resumen usos'!$D$4,"N/A"),"S/I")</f>
        <v>114750.1956285636</v>
      </c>
      <c r="R85" s="429">
        <f>IFERROR(IF('Medidas EE'!$L85="SI",$M85*'Resumen usos'!$D$5,"N/A"),"S/I")</f>
        <v>9475707.0144574717</v>
      </c>
    </row>
    <row r="86" spans="1:18" ht="15" customHeight="1" x14ac:dyDescent="0.25">
      <c r="A86" s="390"/>
      <c r="B86" s="260">
        <v>2</v>
      </c>
      <c r="C86" s="260" t="s">
        <v>616</v>
      </c>
      <c r="D86" s="383" t="s">
        <v>619</v>
      </c>
      <c r="E86" s="384"/>
      <c r="F86" s="385"/>
      <c r="G86" s="383" t="s">
        <v>620</v>
      </c>
      <c r="H86" s="384"/>
      <c r="I86" s="385"/>
      <c r="J86" s="261" t="s">
        <v>481</v>
      </c>
      <c r="K86" s="295" t="s">
        <v>615</v>
      </c>
      <c r="L86" s="262" t="s">
        <v>132</v>
      </c>
      <c r="M86" s="279">
        <v>3.4000000000000002E-2</v>
      </c>
      <c r="N86" s="280">
        <v>1</v>
      </c>
      <c r="O86" s="324">
        <v>2612221.933715303</v>
      </c>
      <c r="P86" s="430">
        <f t="shared" si="1"/>
        <v>0.3</v>
      </c>
      <c r="Q86" s="429">
        <f>IFERROR(IF('Medidas EE'!$L86="SI",$M86*'Resumen usos'!$D$4,"N/A"),"S/I")</f>
        <v>105446.12571273412</v>
      </c>
      <c r="R86" s="429">
        <f>IFERROR(IF('Medidas EE'!$L86="SI",$M86*'Resumen usos'!$D$5,"N/A"),"S/I")</f>
        <v>8707406.4457176775</v>
      </c>
    </row>
    <row r="87" spans="1:18" ht="30" x14ac:dyDescent="0.25">
      <c r="A87" s="390"/>
      <c r="B87" s="260">
        <v>3</v>
      </c>
      <c r="C87" s="260" t="s">
        <v>616</v>
      </c>
      <c r="D87" s="383" t="s">
        <v>621</v>
      </c>
      <c r="E87" s="384"/>
      <c r="F87" s="385"/>
      <c r="G87" s="383" t="s">
        <v>622</v>
      </c>
      <c r="H87" s="384"/>
      <c r="I87" s="385"/>
      <c r="J87" s="261" t="s">
        <v>473</v>
      </c>
      <c r="K87" s="295" t="s">
        <v>615</v>
      </c>
      <c r="L87" s="262" t="s">
        <v>132</v>
      </c>
      <c r="M87" s="279">
        <v>0.03</v>
      </c>
      <c r="N87" s="280">
        <v>2</v>
      </c>
      <c r="O87" s="324">
        <v>4609803.4124387698</v>
      </c>
      <c r="P87" s="430">
        <f t="shared" si="1"/>
        <v>0.6</v>
      </c>
      <c r="Q87" s="429">
        <f>IFERROR(IF('Medidas EE'!$L87="SI",$M87*'Resumen usos'!$D$4,"N/A"),"S/I")</f>
        <v>93040.69915829481</v>
      </c>
      <c r="R87" s="429">
        <f>IFERROR(IF('Medidas EE'!$L87="SI",$M87*'Resumen usos'!$D$5,"N/A"),"S/I")</f>
        <v>7683005.6873979503</v>
      </c>
    </row>
    <row r="88" spans="1:18" ht="45" x14ac:dyDescent="0.25">
      <c r="A88" s="390"/>
      <c r="B88" s="260">
        <v>4</v>
      </c>
      <c r="C88" s="260" t="s">
        <v>616</v>
      </c>
      <c r="D88" s="383" t="s">
        <v>623</v>
      </c>
      <c r="E88" s="384"/>
      <c r="F88" s="385"/>
      <c r="G88" s="383" t="s">
        <v>624</v>
      </c>
      <c r="H88" s="384"/>
      <c r="I88" s="385"/>
      <c r="J88" s="261" t="s">
        <v>476</v>
      </c>
      <c r="K88" s="295" t="s">
        <v>615</v>
      </c>
      <c r="L88" s="262" t="s">
        <v>132</v>
      </c>
      <c r="M88" s="279">
        <v>0.08</v>
      </c>
      <c r="N88" s="280">
        <v>3</v>
      </c>
      <c r="O88" s="324">
        <v>12292809.09983672</v>
      </c>
      <c r="P88" s="430">
        <f t="shared" si="1"/>
        <v>0.6</v>
      </c>
      <c r="Q88" s="429">
        <f>IFERROR(IF('Medidas EE'!$L88="SI",$M88*'Resumen usos'!$D$4,"N/A"),"S/I")</f>
        <v>248108.53108878617</v>
      </c>
      <c r="R88" s="429">
        <f>IFERROR(IF('Medidas EE'!$L88="SI",$M88*'Resumen usos'!$D$5,"N/A"),"S/I")</f>
        <v>20488015.166394535</v>
      </c>
    </row>
    <row r="89" spans="1:18" ht="15" customHeight="1" x14ac:dyDescent="0.25">
      <c r="A89" s="390"/>
      <c r="B89" s="260">
        <v>5</v>
      </c>
      <c r="C89" s="260" t="s">
        <v>616</v>
      </c>
      <c r="D89" s="383" t="s">
        <v>625</v>
      </c>
      <c r="E89" s="384"/>
      <c r="F89" s="385"/>
      <c r="G89" s="383" t="s">
        <v>626</v>
      </c>
      <c r="H89" s="384"/>
      <c r="I89" s="385"/>
      <c r="J89" s="261" t="s">
        <v>481</v>
      </c>
      <c r="K89" s="295" t="s">
        <v>615</v>
      </c>
      <c r="L89" s="262" t="s">
        <v>132</v>
      </c>
      <c r="M89" s="279">
        <v>7.0000000000000007E-2</v>
      </c>
      <c r="N89" s="280">
        <v>1</v>
      </c>
      <c r="O89" s="324" t="s">
        <v>712</v>
      </c>
      <c r="P89" s="430" t="str">
        <f t="shared" si="1"/>
        <v/>
      </c>
      <c r="Q89" s="429">
        <f>IFERROR(IF('Medidas EE'!$L89="SI",$M89*'Resumen usos'!$D$4,"N/A"),"S/I")</f>
        <v>217094.96470268792</v>
      </c>
      <c r="R89" s="429">
        <f>IFERROR(IF('Medidas EE'!$L89="SI",$M89*'Resumen usos'!$D$5,"N/A"),"S/I")</f>
        <v>17927013.270595219</v>
      </c>
    </row>
    <row r="90" spans="1:18" ht="45" x14ac:dyDescent="0.25">
      <c r="A90" s="390"/>
      <c r="B90" s="260">
        <v>7</v>
      </c>
      <c r="C90" s="260" t="s">
        <v>616</v>
      </c>
      <c r="D90" s="383" t="s">
        <v>640</v>
      </c>
      <c r="E90" s="384"/>
      <c r="F90" s="385"/>
      <c r="G90" s="383"/>
      <c r="H90" s="384"/>
      <c r="I90" s="385"/>
      <c r="J90" s="261" t="s">
        <v>476</v>
      </c>
      <c r="K90" s="295" t="s">
        <v>615</v>
      </c>
      <c r="L90" s="262" t="s">
        <v>132</v>
      </c>
      <c r="M90" s="279">
        <v>7.2800000000000004E-2</v>
      </c>
      <c r="N90" s="280">
        <v>3</v>
      </c>
      <c r="O90" s="324" t="s">
        <v>712</v>
      </c>
      <c r="P90" s="430" t="str">
        <f t="shared" si="1"/>
        <v/>
      </c>
      <c r="Q90" s="429">
        <f>IFERROR(IF('Medidas EE'!$L90="SI",$M90*'Resumen usos'!$D$4,"N/A"),"S/I")</f>
        <v>225778.76329079541</v>
      </c>
      <c r="R90" s="429">
        <f>IFERROR(IF('Medidas EE'!$L90="SI",$M90*'Resumen usos'!$D$5,"N/A"),"S/I")</f>
        <v>18644093.801419027</v>
      </c>
    </row>
    <row r="91" spans="1:18" ht="15" customHeight="1" x14ac:dyDescent="0.25">
      <c r="A91" s="391"/>
      <c r="B91" s="260">
        <v>8</v>
      </c>
      <c r="C91" s="260" t="s">
        <v>616</v>
      </c>
      <c r="D91" s="383" t="s">
        <v>639</v>
      </c>
      <c r="E91" s="384"/>
      <c r="F91" s="385"/>
      <c r="G91" s="383"/>
      <c r="H91" s="384"/>
      <c r="I91" s="385"/>
      <c r="J91" s="261" t="s">
        <v>481</v>
      </c>
      <c r="K91" s="295" t="s">
        <v>615</v>
      </c>
      <c r="L91" s="262" t="s">
        <v>132</v>
      </c>
      <c r="M91" s="279">
        <v>5.049E-2</v>
      </c>
      <c r="N91" s="280">
        <v>1</v>
      </c>
      <c r="O91" s="324" t="s">
        <v>712</v>
      </c>
      <c r="P91" s="430" t="str">
        <f t="shared" si="1"/>
        <v/>
      </c>
      <c r="Q91" s="429">
        <f>IFERROR(IF('Medidas EE'!$L91="SI",$M91*'Resumen usos'!$D$4,"N/A"),"S/I")</f>
        <v>156587.49668341017</v>
      </c>
      <c r="R91" s="429">
        <f>IFERROR(IF('Medidas EE'!$L91="SI",$M91*'Resumen usos'!$D$5,"N/A"),"S/I")</f>
        <v>12930498.571890751</v>
      </c>
    </row>
    <row r="92" spans="1:18" x14ac:dyDescent="0.25">
      <c r="A92" s="375" t="s">
        <v>651</v>
      </c>
      <c r="B92" s="309">
        <v>1</v>
      </c>
      <c r="C92" s="309"/>
      <c r="D92" s="378"/>
      <c r="E92" s="378"/>
      <c r="F92" s="378"/>
      <c r="G92" s="378"/>
      <c r="H92" s="378"/>
      <c r="I92" s="378"/>
      <c r="J92" s="310"/>
      <c r="K92" s="295" t="s">
        <v>641</v>
      </c>
      <c r="L92" s="262" t="s">
        <v>132</v>
      </c>
      <c r="M92" s="311"/>
      <c r="N92" s="312"/>
      <c r="O92" s="325"/>
      <c r="P92" s="430" t="str">
        <f t="shared" si="1"/>
        <v/>
      </c>
      <c r="Q92" s="429">
        <f>IFERROR(IF('Medidas EE'!$L92="SI",$M92*'Resumen usos'!$D$4,"N/A"),"S/I")</f>
        <v>0</v>
      </c>
      <c r="R92" s="429">
        <f>IFERROR(IF('Medidas EE'!$L92="SI",$M92*'Resumen usos'!$D$5,"N/A"),"S/I")</f>
        <v>0</v>
      </c>
    </row>
    <row r="93" spans="1:18" x14ac:dyDescent="0.25">
      <c r="A93" s="376"/>
      <c r="B93" s="309">
        <v>2</v>
      </c>
      <c r="C93" s="309"/>
      <c r="D93" s="378"/>
      <c r="E93" s="378"/>
      <c r="F93" s="378"/>
      <c r="G93" s="378"/>
      <c r="H93" s="378"/>
      <c r="I93" s="378"/>
      <c r="J93" s="310"/>
      <c r="K93" s="295" t="s">
        <v>641</v>
      </c>
      <c r="L93" s="262" t="s">
        <v>132</v>
      </c>
      <c r="M93" s="311"/>
      <c r="N93" s="312"/>
      <c r="O93" s="325"/>
      <c r="P93" s="430" t="str">
        <f t="shared" si="1"/>
        <v/>
      </c>
      <c r="Q93" s="429">
        <f>IFERROR(IF('Medidas EE'!$L93="SI",$M93*'Resumen usos'!$D$4,"N/A"),"S/I")</f>
        <v>0</v>
      </c>
      <c r="R93" s="429">
        <f>IFERROR(IF('Medidas EE'!$L93="SI",$M93*'Resumen usos'!$D$5,"N/A"),"S/I")</f>
        <v>0</v>
      </c>
    </row>
    <row r="94" spans="1:18" x14ac:dyDescent="0.25">
      <c r="A94" s="376"/>
      <c r="B94" s="309">
        <v>3</v>
      </c>
      <c r="C94" s="309"/>
      <c r="D94" s="378"/>
      <c r="E94" s="378"/>
      <c r="F94" s="378"/>
      <c r="G94" s="378"/>
      <c r="H94" s="378"/>
      <c r="I94" s="378"/>
      <c r="J94" s="310"/>
      <c r="K94" s="295" t="s">
        <v>641</v>
      </c>
      <c r="L94" s="262" t="s">
        <v>132</v>
      </c>
      <c r="M94" s="311"/>
      <c r="N94" s="312"/>
      <c r="O94" s="325"/>
      <c r="P94" s="430" t="str">
        <f t="shared" si="1"/>
        <v/>
      </c>
      <c r="Q94" s="429">
        <f>IFERROR(IF('Medidas EE'!$L94="SI",$M94*'Resumen usos'!$D$4,"N/A"),"S/I")</f>
        <v>0</v>
      </c>
      <c r="R94" s="429">
        <f>IFERROR(IF('Medidas EE'!$L94="SI",$M94*'Resumen usos'!$D$5,"N/A"),"S/I")</f>
        <v>0</v>
      </c>
    </row>
    <row r="95" spans="1:18" x14ac:dyDescent="0.25">
      <c r="A95" s="377"/>
      <c r="B95" s="309" t="s">
        <v>652</v>
      </c>
      <c r="C95" s="309"/>
      <c r="D95" s="378"/>
      <c r="E95" s="378"/>
      <c r="F95" s="378"/>
      <c r="G95" s="378"/>
      <c r="H95" s="378"/>
      <c r="I95" s="378"/>
      <c r="J95" s="310"/>
      <c r="K95" s="295" t="s">
        <v>641</v>
      </c>
      <c r="L95" s="262" t="s">
        <v>132</v>
      </c>
      <c r="M95" s="311"/>
      <c r="N95" s="312"/>
      <c r="O95" s="325"/>
      <c r="P95" s="430" t="str">
        <f t="shared" si="1"/>
        <v/>
      </c>
      <c r="Q95" s="429">
        <f>IFERROR(IF('Medidas EE'!$L95="SI",$M95*'Resumen usos'!$D$4,"N/A"),"S/I")</f>
        <v>0</v>
      </c>
      <c r="R95" s="429">
        <f>IFERROR(IF('Medidas EE'!$L95="SI",$M95*'Resumen usos'!$D$5,"N/A"),"S/I")</f>
        <v>0</v>
      </c>
    </row>
  </sheetData>
  <autoFilter ref="A14:R95"/>
  <mergeCells count="172">
    <mergeCell ref="A15:A44"/>
    <mergeCell ref="A45:A84"/>
    <mergeCell ref="A85:A91"/>
    <mergeCell ref="H3:I3"/>
    <mergeCell ref="J3:K3"/>
    <mergeCell ref="F3:G3"/>
    <mergeCell ref="D15:F15"/>
    <mergeCell ref="D16:F16"/>
    <mergeCell ref="D17:F17"/>
    <mergeCell ref="D18:F18"/>
    <mergeCell ref="D19:F19"/>
    <mergeCell ref="D20:F20"/>
    <mergeCell ref="D21:F21"/>
    <mergeCell ref="D22:F22"/>
    <mergeCell ref="D28:F28"/>
    <mergeCell ref="D29:F29"/>
    <mergeCell ref="D30:F30"/>
    <mergeCell ref="D31:F31"/>
    <mergeCell ref="D32:F32"/>
    <mergeCell ref="D23:F23"/>
    <mergeCell ref="D24:F24"/>
    <mergeCell ref="D25:F25"/>
    <mergeCell ref="D26:F26"/>
    <mergeCell ref="D27:F27"/>
    <mergeCell ref="D38:F38"/>
    <mergeCell ref="D39:F39"/>
    <mergeCell ref="D40:F40"/>
    <mergeCell ref="D41:F41"/>
    <mergeCell ref="D42:F42"/>
    <mergeCell ref="D33:F33"/>
    <mergeCell ref="D34:F34"/>
    <mergeCell ref="D35:F35"/>
    <mergeCell ref="D36:F36"/>
    <mergeCell ref="D37:F37"/>
    <mergeCell ref="D48:F48"/>
    <mergeCell ref="D49:F49"/>
    <mergeCell ref="D50:F50"/>
    <mergeCell ref="D51:F51"/>
    <mergeCell ref="D52:F52"/>
    <mergeCell ref="D43:F43"/>
    <mergeCell ref="D44:F44"/>
    <mergeCell ref="D45:F45"/>
    <mergeCell ref="D46:F46"/>
    <mergeCell ref="D47:F47"/>
    <mergeCell ref="D58:F58"/>
    <mergeCell ref="D59:F59"/>
    <mergeCell ref="D60:F60"/>
    <mergeCell ref="D61:F61"/>
    <mergeCell ref="D62:F62"/>
    <mergeCell ref="D53:F53"/>
    <mergeCell ref="D54:F54"/>
    <mergeCell ref="D55:F55"/>
    <mergeCell ref="D56:F56"/>
    <mergeCell ref="D57:F57"/>
    <mergeCell ref="D69:F69"/>
    <mergeCell ref="D70:F70"/>
    <mergeCell ref="D71:F71"/>
    <mergeCell ref="D72:F72"/>
    <mergeCell ref="D63:F63"/>
    <mergeCell ref="D64:F64"/>
    <mergeCell ref="D65:F65"/>
    <mergeCell ref="D66:F66"/>
    <mergeCell ref="D67:F67"/>
    <mergeCell ref="G15:I15"/>
    <mergeCell ref="G16:I16"/>
    <mergeCell ref="G17:I17"/>
    <mergeCell ref="G18:I18"/>
    <mergeCell ref="D88:F88"/>
    <mergeCell ref="D89:F89"/>
    <mergeCell ref="D90:F90"/>
    <mergeCell ref="D91:F91"/>
    <mergeCell ref="D83:F83"/>
    <mergeCell ref="D84:F84"/>
    <mergeCell ref="D85:F85"/>
    <mergeCell ref="D86:F86"/>
    <mergeCell ref="D87:F87"/>
    <mergeCell ref="D78:F78"/>
    <mergeCell ref="D79:F79"/>
    <mergeCell ref="D80:F80"/>
    <mergeCell ref="D81:F81"/>
    <mergeCell ref="D82:F82"/>
    <mergeCell ref="D73:F73"/>
    <mergeCell ref="D74:F74"/>
    <mergeCell ref="D75:F75"/>
    <mergeCell ref="D76:F76"/>
    <mergeCell ref="D77:F77"/>
    <mergeCell ref="D68:F68"/>
    <mergeCell ref="G24:I24"/>
    <mergeCell ref="G25:I25"/>
    <mergeCell ref="G26:I26"/>
    <mergeCell ref="G27:I27"/>
    <mergeCell ref="G28:I28"/>
    <mergeCell ref="G19:I19"/>
    <mergeCell ref="G20:I20"/>
    <mergeCell ref="G21:I21"/>
    <mergeCell ref="G22:I22"/>
    <mergeCell ref="G23:I23"/>
    <mergeCell ref="G34:I34"/>
    <mergeCell ref="G35:I35"/>
    <mergeCell ref="G36:I36"/>
    <mergeCell ref="G37:I37"/>
    <mergeCell ref="G38:I38"/>
    <mergeCell ref="G29:I29"/>
    <mergeCell ref="G30:I30"/>
    <mergeCell ref="G31:I31"/>
    <mergeCell ref="G32:I32"/>
    <mergeCell ref="G33:I33"/>
    <mergeCell ref="G44:I44"/>
    <mergeCell ref="G45:I45"/>
    <mergeCell ref="G46:I46"/>
    <mergeCell ref="G47:I47"/>
    <mergeCell ref="G48:I48"/>
    <mergeCell ref="G39:I39"/>
    <mergeCell ref="G40:I40"/>
    <mergeCell ref="G41:I41"/>
    <mergeCell ref="G42:I42"/>
    <mergeCell ref="G43:I43"/>
    <mergeCell ref="G54:I54"/>
    <mergeCell ref="G55:I55"/>
    <mergeCell ref="G56:I56"/>
    <mergeCell ref="G57:I57"/>
    <mergeCell ref="G58:I58"/>
    <mergeCell ref="G49:I49"/>
    <mergeCell ref="G50:I50"/>
    <mergeCell ref="G51:I51"/>
    <mergeCell ref="G52:I52"/>
    <mergeCell ref="G53:I53"/>
    <mergeCell ref="G64:I64"/>
    <mergeCell ref="G65:I65"/>
    <mergeCell ref="G66:I66"/>
    <mergeCell ref="G67:I67"/>
    <mergeCell ref="G68:I68"/>
    <mergeCell ref="G59:I59"/>
    <mergeCell ref="G60:I60"/>
    <mergeCell ref="G61:I61"/>
    <mergeCell ref="G62:I62"/>
    <mergeCell ref="G63:I63"/>
    <mergeCell ref="G83:I83"/>
    <mergeCell ref="G74:I74"/>
    <mergeCell ref="G75:I75"/>
    <mergeCell ref="G76:I76"/>
    <mergeCell ref="G77:I77"/>
    <mergeCell ref="G78:I78"/>
    <mergeCell ref="G69:I69"/>
    <mergeCell ref="G70:I70"/>
    <mergeCell ref="G71:I71"/>
    <mergeCell ref="G72:I72"/>
    <mergeCell ref="G73:I73"/>
    <mergeCell ref="A92:A95"/>
    <mergeCell ref="D94:F94"/>
    <mergeCell ref="D95:F95"/>
    <mergeCell ref="G92:I92"/>
    <mergeCell ref="G93:I93"/>
    <mergeCell ref="G94:I94"/>
    <mergeCell ref="G95:I95"/>
    <mergeCell ref="D14:F14"/>
    <mergeCell ref="D3:E3"/>
    <mergeCell ref="D92:F92"/>
    <mergeCell ref="D93:F93"/>
    <mergeCell ref="G89:I89"/>
    <mergeCell ref="G90:I90"/>
    <mergeCell ref="G91:I91"/>
    <mergeCell ref="G14:I14"/>
    <mergeCell ref="G84:I84"/>
    <mergeCell ref="G85:I85"/>
    <mergeCell ref="G86:I86"/>
    <mergeCell ref="G87:I87"/>
    <mergeCell ref="G88:I88"/>
    <mergeCell ref="G79:I79"/>
    <mergeCell ref="G80:I80"/>
    <mergeCell ref="G81:I81"/>
    <mergeCell ref="G82:I82"/>
  </mergeCells>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Listas!$D$2:$D$3</xm:f>
          </x14:formula1>
          <xm:sqref>L15:L95</xm:sqref>
        </x14:dataValidation>
        <x14:dataValidation type="list" allowBlank="1" showInputMessage="1" showErrorMessage="1">
          <x14:formula1>
            <xm:f>Listas!$W$1:$W$4</xm:f>
          </x14:formula1>
          <xm:sqref>K15:K95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theme="8"/>
  </sheetPr>
  <dimension ref="A2:AE212"/>
  <sheetViews>
    <sheetView workbookViewId="0">
      <selection activeCell="K11" sqref="K11"/>
    </sheetView>
  </sheetViews>
  <sheetFormatPr baseColWidth="10" defaultRowHeight="15" outlineLevelCol="1" x14ac:dyDescent="0.25"/>
  <cols>
    <col min="1" max="1" width="4.5703125" style="35" customWidth="1"/>
    <col min="2" max="3" width="3.85546875" style="35" hidden="1" customWidth="1" outlineLevel="1"/>
    <col min="4" max="4" width="31.140625" style="35" hidden="1" customWidth="1" outlineLevel="1"/>
    <col min="5" max="5" width="5.7109375" hidden="1" customWidth="1" outlineLevel="1"/>
    <col min="6" max="6" width="5.7109375" style="35" hidden="1" customWidth="1" outlineLevel="1"/>
    <col min="7" max="7" width="27.28515625" style="35" customWidth="1" collapsed="1"/>
    <col min="10" max="10" width="12" style="35" customWidth="1"/>
    <col min="11" max="11" width="12.28515625" customWidth="1"/>
    <col min="12" max="12" width="14.140625" customWidth="1"/>
    <col min="13" max="13" width="19.42578125" customWidth="1"/>
    <col min="14" max="14" width="16.140625" style="35" customWidth="1"/>
    <col min="15" max="15" width="4.85546875" customWidth="1"/>
    <col min="17" max="17" width="11.42578125" style="35"/>
    <col min="18" max="18" width="14.5703125" style="35" customWidth="1"/>
    <col min="19" max="19" width="14.42578125" style="35" customWidth="1"/>
    <col min="20" max="20" width="16.140625" style="35" customWidth="1"/>
    <col min="21" max="21" width="14.7109375" style="35" customWidth="1"/>
    <col min="22" max="22" width="16.85546875" style="35" customWidth="1"/>
    <col min="23" max="23" width="4.140625" customWidth="1"/>
    <col min="24" max="24" width="12.28515625" customWidth="1"/>
    <col min="25" max="25" width="12.85546875" customWidth="1"/>
    <col min="27" max="27" width="14.5703125" customWidth="1"/>
    <col min="28" max="28" width="14.42578125" customWidth="1"/>
    <col min="29" max="29" width="16.140625" style="35" customWidth="1"/>
    <col min="30" max="30" width="14.7109375" customWidth="1"/>
    <col min="31" max="31" width="17" customWidth="1"/>
  </cols>
  <sheetData>
    <row r="2" spans="2:31" x14ac:dyDescent="0.25">
      <c r="G2"/>
      <c r="J2" s="392" t="s">
        <v>335</v>
      </c>
      <c r="K2" s="392"/>
      <c r="L2" s="392"/>
    </row>
    <row r="3" spans="2:31" x14ac:dyDescent="0.25">
      <c r="G3" s="54"/>
      <c r="J3" s="392" t="str">
        <f>'Usos Electricidad'!AI5</f>
        <v>Iluminación</v>
      </c>
      <c r="K3" s="392"/>
      <c r="L3" s="392"/>
      <c r="M3" s="18"/>
      <c r="N3" s="18"/>
      <c r="T3" s="18"/>
      <c r="AC3" s="18"/>
    </row>
    <row r="4" spans="2:31" ht="15.75" x14ac:dyDescent="0.25">
      <c r="E4" s="6"/>
      <c r="F4" s="6"/>
      <c r="G4" s="1"/>
      <c r="J4" s="1"/>
      <c r="K4" s="1"/>
      <c r="L4" s="1"/>
      <c r="M4" s="1"/>
      <c r="N4" s="1"/>
      <c r="P4" s="396" t="s">
        <v>272</v>
      </c>
      <c r="Q4" s="396"/>
      <c r="R4" s="396"/>
      <c r="S4" s="396"/>
      <c r="T4" s="396"/>
      <c r="U4" s="396"/>
      <c r="V4" s="396"/>
      <c r="X4" s="396" t="s">
        <v>273</v>
      </c>
      <c r="Y4" s="396"/>
      <c r="Z4" s="396"/>
      <c r="AA4" s="396"/>
      <c r="AB4" s="396"/>
      <c r="AC4" s="396"/>
      <c r="AD4" s="396"/>
      <c r="AE4" s="396"/>
    </row>
    <row r="5" spans="2:31" ht="45" customHeight="1" x14ac:dyDescent="0.25">
      <c r="B5" s="393" t="s">
        <v>227</v>
      </c>
      <c r="C5" s="394"/>
      <c r="D5" s="394"/>
      <c r="E5" s="394"/>
      <c r="F5" s="395"/>
      <c r="G5" s="9" t="s">
        <v>62</v>
      </c>
      <c r="H5" s="119" t="s">
        <v>247</v>
      </c>
      <c r="I5" s="119" t="s">
        <v>248</v>
      </c>
      <c r="J5" s="9" t="s">
        <v>64</v>
      </c>
      <c r="K5" s="9" t="s">
        <v>61</v>
      </c>
      <c r="L5" s="9" t="s">
        <v>280</v>
      </c>
      <c r="M5" s="9" t="s">
        <v>66</v>
      </c>
      <c r="N5" s="133" t="s">
        <v>274</v>
      </c>
      <c r="P5" s="110" t="s">
        <v>249</v>
      </c>
      <c r="Q5" s="110" t="s">
        <v>252</v>
      </c>
      <c r="R5" s="110" t="s">
        <v>267</v>
      </c>
      <c r="S5" s="110" t="s">
        <v>66</v>
      </c>
      <c r="T5" s="133" t="s">
        <v>274</v>
      </c>
      <c r="U5" s="110" t="s">
        <v>268</v>
      </c>
      <c r="V5" s="110" t="s">
        <v>119</v>
      </c>
      <c r="X5" s="110" t="s">
        <v>250</v>
      </c>
      <c r="Y5" s="110" t="s">
        <v>251</v>
      </c>
      <c r="Z5" s="110" t="s">
        <v>252</v>
      </c>
      <c r="AA5" s="110" t="s">
        <v>267</v>
      </c>
      <c r="AB5" s="110" t="s">
        <v>66</v>
      </c>
      <c r="AC5" s="133" t="s">
        <v>274</v>
      </c>
      <c r="AD5" s="110" t="s">
        <v>268</v>
      </c>
      <c r="AE5" s="110" t="s">
        <v>119</v>
      </c>
    </row>
    <row r="6" spans="2:31" x14ac:dyDescent="0.25">
      <c r="B6" s="125" t="s">
        <v>245</v>
      </c>
      <c r="C6" s="125" t="s">
        <v>246</v>
      </c>
      <c r="D6" s="125" t="str">
        <f>CONCATENATE("'Usos Electricidad'!$",$B$6,5+F5,":",$B$6,200)</f>
        <v>'Usos Electricidad'!$B5:B200</v>
      </c>
      <c r="E6" s="156">
        <f ca="1">MATCH($J$3,INDIRECT(D6),0)</f>
        <v>2</v>
      </c>
      <c r="F6" s="156">
        <f ca="1">F5+E6</f>
        <v>2</v>
      </c>
      <c r="G6" s="156" t="str">
        <f ca="1">IF(ISERROR(E6),"",INDIRECT(CONCATENATE("'Usos Electricidad'!$",$C$6,4+F6)))</f>
        <v>Luminarias oficina 1 tipo 1</v>
      </c>
      <c r="H6" s="153" t="s">
        <v>260</v>
      </c>
      <c r="I6" s="155">
        <v>2009</v>
      </c>
      <c r="J6" s="128">
        <f ca="1">IFERROR(VLOOKUP('Recambio luminarias'!G6,'Usos Electricidad'!$C$5:$E$200,3,FALSE),"")</f>
        <v>0.6</v>
      </c>
      <c r="K6" s="156">
        <f ca="1">IFERROR(VLOOKUP('Recambio luminarias'!G6,'Usos Electricidad'!$C$5:$E$200,2,FALSE),"")</f>
        <v>10</v>
      </c>
      <c r="L6" s="156">
        <f ca="1">IFERROR(VLOOKUP('Recambio luminarias'!G6,'Usos Electricidad'!$C$5:$AE$200,29,FALSE),"")</f>
        <v>3988.928571428572</v>
      </c>
      <c r="M6" s="129">
        <f ca="1">IFERROR(+J6*K6*L6,"")</f>
        <v>23933.571428571431</v>
      </c>
      <c r="N6" s="129">
        <f ca="1">IFERROR(M6*Electricidad!$J$8,"")</f>
        <v>2051747.1199242086</v>
      </c>
      <c r="P6" s="160">
        <f>IFERROR(VLOOKUP(H6,Listas!$M:$R,2,FALSE),"")</f>
        <v>1</v>
      </c>
      <c r="Q6" s="161">
        <f ca="1">IFERROR(P6*J6,"")</f>
        <v>0.6</v>
      </c>
      <c r="R6" s="161">
        <f t="shared" ref="R6:S8" ca="1" si="0">IFERROR(K6*Q6,"")</f>
        <v>6</v>
      </c>
      <c r="S6" s="161">
        <f t="shared" ca="1" si="0"/>
        <v>23933.571428571431</v>
      </c>
      <c r="T6" s="129">
        <f ca="1">IFERROR(S6*Electricidad!$J$8,"")</f>
        <v>2051747.1199242086</v>
      </c>
      <c r="U6" s="161">
        <f ca="1">IFERROR(M6-S6,"")</f>
        <v>0</v>
      </c>
      <c r="V6" s="127">
        <f ca="1">IFERROR(U6*Electricidad!$J$8,"")</f>
        <v>0</v>
      </c>
      <c r="X6" s="125">
        <f ca="1">IF(G6="","",YEAR(TODAY())-I6)</f>
        <v>9</v>
      </c>
      <c r="Y6" s="161">
        <f ca="1">IFERROR(X6*0.3/VLOOKUP(H6,Listas!$M:$R,6,FALSE),"")</f>
        <v>0.1971</v>
      </c>
      <c r="Z6" s="161">
        <f ca="1">IFERROR(J6*P6*(1-Y6),"")</f>
        <v>0.48173999999999995</v>
      </c>
      <c r="AA6" s="161">
        <f t="shared" ref="AA6:AB8" ca="1" si="1">IFERROR(K6*Z6,"")</f>
        <v>4.8173999999999992</v>
      </c>
      <c r="AB6" s="161">
        <f t="shared" ca="1" si="1"/>
        <v>19216.264500000001</v>
      </c>
      <c r="AC6" s="129">
        <f ca="1">IFERROR(AB6*Electricidad!$J$8,"")</f>
        <v>1647347.7625871471</v>
      </c>
      <c r="AD6" s="161">
        <f ca="1">IFERROR(M6-AB6,"")</f>
        <v>4717.30692857143</v>
      </c>
      <c r="AE6" s="127">
        <f ca="1">IFERROR(AD6*Electricidad!$J$8,"")</f>
        <v>404399.35733706161</v>
      </c>
    </row>
    <row r="7" spans="2:31" s="35" customFormat="1" x14ac:dyDescent="0.25">
      <c r="B7" s="125"/>
      <c r="C7" s="125"/>
      <c r="D7" s="125" t="str">
        <f t="shared" ref="D7:D35" ca="1" si="2">CONCATENATE("'Usos Electricidad'!$",$B$6,5+F6,":",$B$6,200)</f>
        <v>'Usos Electricidad'!$B7:B200</v>
      </c>
      <c r="E7" s="156">
        <f t="shared" ref="E7:E35" ca="1" si="3">MATCH($J$3,INDIRECT(D7),0)</f>
        <v>1</v>
      </c>
      <c r="F7" s="156">
        <f t="shared" ref="F7:F35" ca="1" si="4">F6+E7</f>
        <v>3</v>
      </c>
      <c r="G7" s="156" t="str">
        <f t="shared" ref="G7:G35" ca="1" si="5">IF(ISERROR(E7),"",INDIRECT(CONCATENATE("'Usos Electricidad'!$",$C$6,4+F7)))</f>
        <v>Luminarias oficina 1 tipo 2</v>
      </c>
      <c r="H7" s="153" t="s">
        <v>255</v>
      </c>
      <c r="I7" s="155">
        <v>2015</v>
      </c>
      <c r="J7" s="128">
        <f ca="1">IFERROR(VLOOKUP('Recambio luminarias'!G7,'Usos Electricidad'!$C$5:$E$200,3,FALSE),"")</f>
        <v>0.01</v>
      </c>
      <c r="K7" s="156">
        <f ca="1">IFERROR(VLOOKUP('Recambio luminarias'!G7,'Usos Electricidad'!$C$5:$E$200,2,FALSE),"")</f>
        <v>5</v>
      </c>
      <c r="L7" s="156">
        <f ca="1">IFERROR(VLOOKUP('Recambio luminarias'!G7,'Usos Electricidad'!$C$5:$AE$200,29,FALSE),"")</f>
        <v>3988.928571428572</v>
      </c>
      <c r="M7" s="129">
        <f t="shared" ref="M7:M35" ca="1" si="6">IFERROR(+J7*K7*L7,"")</f>
        <v>199.44642857142861</v>
      </c>
      <c r="N7" s="129">
        <f ca="1">IFERROR(M7*Electricidad!$J$8,"")</f>
        <v>17097.892666035073</v>
      </c>
      <c r="P7" s="160">
        <f>IFERROR(VLOOKUP(H7,Listas!$M:$R,2,FALSE),"")</f>
        <v>0.83333333333333337</v>
      </c>
      <c r="Q7" s="161">
        <f ca="1">IFERROR(P7*J7,"")</f>
        <v>8.3333333333333332E-3</v>
      </c>
      <c r="R7" s="161">
        <f t="shared" ca="1" si="0"/>
        <v>4.1666666666666664E-2</v>
      </c>
      <c r="S7" s="161">
        <f t="shared" ca="1" si="0"/>
        <v>166.20535714285717</v>
      </c>
      <c r="T7" s="129">
        <f ca="1">IFERROR(S7*Electricidad!$J$8,"")</f>
        <v>14248.24388836256</v>
      </c>
      <c r="U7" s="161">
        <f ca="1">IFERROR(M7-S7,"")</f>
        <v>33.241071428571445</v>
      </c>
      <c r="V7" s="127">
        <f ca="1">IFERROR(U7*Electricidad!$J$8,"")</f>
        <v>2849.648777672513</v>
      </c>
      <c r="W7"/>
      <c r="X7" s="125">
        <f ca="1">IF(G7="","",YEAR(TODAY())-I7)</f>
        <v>3</v>
      </c>
      <c r="Y7" s="161">
        <f ca="1">IFERROR(X7*0.3/VLOOKUP(H7,Listas!$M:$R,6,FALSE),"")</f>
        <v>0.13139999999999999</v>
      </c>
      <c r="Z7" s="161">
        <f ca="1">IFERROR(J7*P7*(1-Y7),"")</f>
        <v>7.2383333333333336E-3</v>
      </c>
      <c r="AA7" s="161">
        <f t="shared" ca="1" si="1"/>
        <v>3.6191666666666671E-2</v>
      </c>
      <c r="AB7" s="161">
        <f t="shared" ca="1" si="1"/>
        <v>144.36597321428576</v>
      </c>
      <c r="AC7" s="129">
        <f ca="1">IFERROR(AB7*Electricidad!$J$8,"")</f>
        <v>12376.024641431723</v>
      </c>
      <c r="AD7" s="161">
        <f ca="1">IFERROR(M7-AB7,"")</f>
        <v>55.080455357142853</v>
      </c>
      <c r="AE7" s="127">
        <f ca="1">IFERROR(AD7*Electricidad!$J$8,"")</f>
        <v>4721.8680246033518</v>
      </c>
    </row>
    <row r="8" spans="2:31" s="35" customFormat="1" x14ac:dyDescent="0.25">
      <c r="B8" s="125"/>
      <c r="C8" s="125"/>
      <c r="D8" s="125" t="str">
        <f t="shared" ca="1" si="2"/>
        <v>'Usos Electricidad'!$B8:B200</v>
      </c>
      <c r="E8" s="156">
        <f t="shared" ca="1" si="3"/>
        <v>1</v>
      </c>
      <c r="F8" s="156">
        <f t="shared" ca="1" si="4"/>
        <v>4</v>
      </c>
      <c r="G8" s="156" t="str">
        <f t="shared" ca="1" si="5"/>
        <v>Luminarias oficina 2 tipo 3</v>
      </c>
      <c r="H8" s="153" t="s">
        <v>255</v>
      </c>
      <c r="I8" s="155">
        <v>2017</v>
      </c>
      <c r="J8" s="128">
        <f ca="1">IFERROR(VLOOKUP('Recambio luminarias'!G8,'Usos Electricidad'!$C$5:$E$200,3,FALSE),"")</f>
        <v>0.6</v>
      </c>
      <c r="K8" s="156">
        <f ca="1">IFERROR(VLOOKUP('Recambio luminarias'!G8,'Usos Electricidad'!$C$5:$E$200,2,FALSE),"")</f>
        <v>9</v>
      </c>
      <c r="L8" s="156">
        <f ca="1">IFERROR(VLOOKUP('Recambio luminarias'!G8,'Usos Electricidad'!$C$5:$AE$200,29,FALSE),"")</f>
        <v>3988.928571428572</v>
      </c>
      <c r="M8" s="129">
        <f t="shared" ca="1" si="6"/>
        <v>21540.214285714286</v>
      </c>
      <c r="N8" s="129">
        <f ca="1">IFERROR(M8*Electricidad!$J$8,"")</f>
        <v>1846572.4079317877</v>
      </c>
      <c r="P8" s="160">
        <f>IFERROR(VLOOKUP(H8,Listas!$M:$R,2,FALSE),"")</f>
        <v>0.83333333333333337</v>
      </c>
      <c r="Q8" s="161">
        <f ca="1">IFERROR(P8*J8,"")</f>
        <v>0.5</v>
      </c>
      <c r="R8" s="161">
        <f t="shared" ca="1" si="0"/>
        <v>4.5</v>
      </c>
      <c r="S8" s="161">
        <f t="shared" ca="1" si="0"/>
        <v>17950.178571428572</v>
      </c>
      <c r="T8" s="129">
        <f ca="1">IFERROR(S8*Electricidad!$J$8,"")</f>
        <v>1538810.3399431563</v>
      </c>
      <c r="U8" s="161">
        <f ca="1">IFERROR(M8-S8,"")</f>
        <v>3590.0357142857138</v>
      </c>
      <c r="V8" s="127">
        <f ca="1">IFERROR(U8*Electricidad!$J$8,"")</f>
        <v>307762.0679886312</v>
      </c>
      <c r="W8"/>
      <c r="X8" s="125">
        <f ca="1">IF(G8="","",YEAR(TODAY())-I8)</f>
        <v>1</v>
      </c>
      <c r="Y8" s="161">
        <f ca="1">IFERROR(X8*0.3/VLOOKUP(H8,Listas!$M:$R,6,FALSE),"")</f>
        <v>4.3799999999999999E-2</v>
      </c>
      <c r="Z8" s="161">
        <f ca="1">IFERROR(J8*P8*(1-Y8),"")</f>
        <v>0.47810000000000002</v>
      </c>
      <c r="AA8" s="161">
        <f t="shared" ca="1" si="1"/>
        <v>4.3029000000000002</v>
      </c>
      <c r="AB8" s="161">
        <f t="shared" ca="1" si="1"/>
        <v>17163.960750000002</v>
      </c>
      <c r="AC8" s="129">
        <f ca="1">IFERROR(AB8*Electricidad!$J$8,"")</f>
        <v>1471410.4470536462</v>
      </c>
      <c r="AD8" s="161">
        <f ca="1">IFERROR(M8-AB8,"")</f>
        <v>4376.2535357142842</v>
      </c>
      <c r="AE8" s="127">
        <f ca="1">IFERROR(AD8*Electricidad!$J$8,"")</f>
        <v>375161.9608781414</v>
      </c>
    </row>
    <row r="9" spans="2:31" s="35" customFormat="1" x14ac:dyDescent="0.25">
      <c r="B9" s="125"/>
      <c r="C9" s="125"/>
      <c r="D9" s="125" t="str">
        <f t="shared" ca="1" si="2"/>
        <v>'Usos Electricidad'!$B9:B200</v>
      </c>
      <c r="E9" s="156">
        <f t="shared" ca="1" si="3"/>
        <v>6</v>
      </c>
      <c r="F9" s="156">
        <f t="shared" ca="1" si="4"/>
        <v>10</v>
      </c>
      <c r="G9" s="156" t="str">
        <f t="shared" ca="1" si="5"/>
        <v>Proyectores galpón interior</v>
      </c>
      <c r="H9" s="153" t="s">
        <v>257</v>
      </c>
      <c r="I9" s="155">
        <v>2010</v>
      </c>
      <c r="J9" s="128">
        <f ca="1">IFERROR(VLOOKUP('Recambio luminarias'!G9,'Usos Electricidad'!$C$5:$E$200,3,FALSE),"")</f>
        <v>0.4</v>
      </c>
      <c r="K9" s="156">
        <f ca="1">IFERROR(VLOOKUP('Recambio luminarias'!G9,'Usos Electricidad'!$C$5:$E$200,2,FALSE),"")</f>
        <v>250</v>
      </c>
      <c r="L9" s="156">
        <f ca="1">IFERROR(VLOOKUP('Recambio luminarias'!G9,'Usos Electricidad'!$C$5:$AE$200,29,FALSE),"")</f>
        <v>8760</v>
      </c>
      <c r="M9" s="129">
        <f t="shared" ca="1" si="6"/>
        <v>876000</v>
      </c>
      <c r="N9" s="129">
        <f ca="1">IFERROR(M9*Electricidad!$J$8,"")</f>
        <v>75096626.611605018</v>
      </c>
      <c r="P9" s="160">
        <f>IFERROR(VLOOKUP(H9,Listas!$M:$R,2,FALSE),"")</f>
        <v>0.66666666666666663</v>
      </c>
      <c r="Q9" s="161">
        <f t="shared" ref="Q9:Q35" ca="1" si="7">IFERROR(P9*J9,"")</f>
        <v>0.26666666666666666</v>
      </c>
      <c r="R9" s="161">
        <f t="shared" ref="R9:R35" ca="1" si="8">IFERROR(K9*Q9,"")</f>
        <v>66.666666666666671</v>
      </c>
      <c r="S9" s="161">
        <f t="shared" ref="S9:S35" ca="1" si="9">IFERROR(L9*R9,"")</f>
        <v>584000</v>
      </c>
      <c r="T9" s="129">
        <f ca="1">IFERROR(S9*Electricidad!$J$8,"")</f>
        <v>50064417.74107001</v>
      </c>
      <c r="U9" s="161">
        <f t="shared" ref="U9:U35" ca="1" si="10">IFERROR(M9-S9,"")</f>
        <v>292000</v>
      </c>
      <c r="V9" s="127">
        <f ca="1">IFERROR(U9*Electricidad!$J$8,"")</f>
        <v>25032208.870535005</v>
      </c>
      <c r="W9"/>
      <c r="X9" s="125">
        <f t="shared" ref="X9:X35" ca="1" si="11">IF(G9="","",YEAR(TODAY())-I9)</f>
        <v>8</v>
      </c>
      <c r="Y9" s="161">
        <f ca="1">IFERROR(X9*0.3/VLOOKUP(H9,Listas!$M:$R,6,FALSE),"")</f>
        <v>0.438</v>
      </c>
      <c r="Z9" s="161">
        <f t="shared" ref="Z9:Z35" ca="1" si="12">IFERROR(J9*P9*(1-Y9),"")</f>
        <v>0.14986666666666668</v>
      </c>
      <c r="AA9" s="161">
        <f t="shared" ref="AA9:AA35" ca="1" si="13">IFERROR(K9*Z9,"")</f>
        <v>37.466666666666669</v>
      </c>
      <c r="AB9" s="161">
        <f t="shared" ref="AB9:AB35" ca="1" si="14">IFERROR(L9*AA9,"")</f>
        <v>328208</v>
      </c>
      <c r="AC9" s="129">
        <f ca="1">IFERROR(AB9*Electricidad!$J$8,"")</f>
        <v>28136202.770481344</v>
      </c>
      <c r="AD9" s="161">
        <f t="shared" ref="AD9:AD35" ca="1" si="15">IFERROR(M9-AB9,"")</f>
        <v>547792</v>
      </c>
      <c r="AE9" s="127">
        <f ca="1">IFERROR(AD9*Electricidad!$J$8,"")</f>
        <v>46960423.84112367</v>
      </c>
    </row>
    <row r="10" spans="2:31" s="35" customFormat="1" x14ac:dyDescent="0.25">
      <c r="B10" s="125"/>
      <c r="C10" s="125"/>
      <c r="D10" s="125" t="str">
        <f t="shared" ca="1" si="2"/>
        <v>'Usos Electricidad'!$B15:B200</v>
      </c>
      <c r="E10" s="156">
        <f t="shared" ca="1" si="3"/>
        <v>1</v>
      </c>
      <c r="F10" s="156">
        <f t="shared" ca="1" si="4"/>
        <v>11</v>
      </c>
      <c r="G10" s="156" t="str">
        <f t="shared" ca="1" si="5"/>
        <v>Proyectores galpón exterior</v>
      </c>
      <c r="H10" s="153" t="s">
        <v>255</v>
      </c>
      <c r="I10" s="155">
        <v>2010</v>
      </c>
      <c r="J10" s="128">
        <f ca="1">IFERROR(VLOOKUP('Recambio luminarias'!G10,'Usos Electricidad'!$C$5:$E$200,3,FALSE),"")</f>
        <v>0.25</v>
      </c>
      <c r="K10" s="156">
        <f ca="1">IFERROR(VLOOKUP('Recambio luminarias'!G10,'Usos Electricidad'!$C$5:$E$200,2,FALSE),"")</f>
        <v>1000</v>
      </c>
      <c r="L10" s="156">
        <f ca="1">IFERROR(VLOOKUP('Recambio luminarias'!G10,'Usos Electricidad'!$C$5:$AE$200,29,FALSE),"")</f>
        <v>4672</v>
      </c>
      <c r="M10" s="129">
        <f t="shared" ca="1" si="6"/>
        <v>1168000</v>
      </c>
      <c r="N10" s="129">
        <f ca="1">IFERROR(M10*Electricidad!$J$8,"")</f>
        <v>100128835.48214002</v>
      </c>
      <c r="P10" s="160">
        <f>IFERROR(VLOOKUP(H10,Listas!$M:$R,2,FALSE),"")</f>
        <v>0.83333333333333337</v>
      </c>
      <c r="Q10" s="161">
        <f t="shared" ca="1" si="7"/>
        <v>0.20833333333333334</v>
      </c>
      <c r="R10" s="161">
        <f t="shared" ca="1" si="8"/>
        <v>208.33333333333334</v>
      </c>
      <c r="S10" s="161">
        <f t="shared" ca="1" si="9"/>
        <v>973333.33333333337</v>
      </c>
      <c r="T10" s="129">
        <f ca="1">IFERROR(S10*Electricidad!$J$8,"")</f>
        <v>83440696.23511669</v>
      </c>
      <c r="U10" s="161">
        <f t="shared" ca="1" si="10"/>
        <v>194666.66666666663</v>
      </c>
      <c r="V10" s="127">
        <f ca="1">IFERROR(U10*Electricidad!$J$8,"")</f>
        <v>16688139.247023333</v>
      </c>
      <c r="W10"/>
      <c r="X10" s="125">
        <f t="shared" ca="1" si="11"/>
        <v>8</v>
      </c>
      <c r="Y10" s="161">
        <f ca="1">IFERROR(X10*0.3/VLOOKUP(H10,Listas!$M:$R,6,FALSE),"")</f>
        <v>0.35039999999999999</v>
      </c>
      <c r="Z10" s="161">
        <f t="shared" ca="1" si="12"/>
        <v>0.13533333333333333</v>
      </c>
      <c r="AA10" s="161">
        <f t="shared" ca="1" si="13"/>
        <v>135.33333333333334</v>
      </c>
      <c r="AB10" s="161">
        <f t="shared" ca="1" si="14"/>
        <v>632277.33333333337</v>
      </c>
      <c r="AC10" s="129">
        <f ca="1">IFERROR(AB10*Electricidad!$J$8,"")</f>
        <v>54203076.274331801</v>
      </c>
      <c r="AD10" s="161">
        <f t="shared" ca="1" si="15"/>
        <v>535722.66666666663</v>
      </c>
      <c r="AE10" s="127">
        <f ca="1">IFERROR(AD10*Electricidad!$J$8,"")</f>
        <v>45925759.207808219</v>
      </c>
    </row>
    <row r="11" spans="2:31" s="35" customFormat="1" x14ac:dyDescent="0.25">
      <c r="B11" s="125"/>
      <c r="C11" s="125"/>
      <c r="D11" s="125" t="str">
        <f t="shared" ca="1" si="2"/>
        <v>'Usos Electricidad'!$B16:B200</v>
      </c>
      <c r="E11" s="156" t="e">
        <f t="shared" ca="1" si="3"/>
        <v>#N/A</v>
      </c>
      <c r="F11" s="156" t="e">
        <f t="shared" ca="1" si="4"/>
        <v>#N/A</v>
      </c>
      <c r="G11" s="156" t="str">
        <f t="shared" ca="1" si="5"/>
        <v/>
      </c>
      <c r="H11" s="153"/>
      <c r="I11" s="155"/>
      <c r="J11" s="128" t="str">
        <f ca="1">IFERROR(VLOOKUP('Recambio luminarias'!G11,'Usos Electricidad'!$C$5:$E$200,3,FALSE),"")</f>
        <v/>
      </c>
      <c r="K11" s="156" t="str">
        <f ca="1">IFERROR(VLOOKUP('Recambio luminarias'!G11,'Usos Electricidad'!$C$5:$E$200,2,FALSE),"")</f>
        <v/>
      </c>
      <c r="L11" s="156" t="str">
        <f ca="1">IFERROR(VLOOKUP('Recambio luminarias'!G11,'Usos Electricidad'!$C$5:$AE$200,29,FALSE),"")</f>
        <v/>
      </c>
      <c r="M11" s="129" t="str">
        <f t="shared" ca="1" si="6"/>
        <v/>
      </c>
      <c r="N11" s="129" t="str">
        <f ca="1">IFERROR(M11*Electricidad!$J$8,"")</f>
        <v/>
      </c>
      <c r="P11" s="160" t="str">
        <f>IFERROR(VLOOKUP(H11,Listas!$M:$R,2,FALSE),"")</f>
        <v/>
      </c>
      <c r="Q11" s="161" t="str">
        <f t="shared" ca="1" si="7"/>
        <v/>
      </c>
      <c r="R11" s="161" t="str">
        <f t="shared" ca="1" si="8"/>
        <v/>
      </c>
      <c r="S11" s="161" t="str">
        <f t="shared" ca="1" si="9"/>
        <v/>
      </c>
      <c r="T11" s="129" t="str">
        <f ca="1">IFERROR(S11*Electricidad!$J$8,"")</f>
        <v/>
      </c>
      <c r="U11" s="161" t="str">
        <f t="shared" ca="1" si="10"/>
        <v/>
      </c>
      <c r="V11" s="127" t="str">
        <f ca="1">IFERROR(U11*Electricidad!$J$8,"")</f>
        <v/>
      </c>
      <c r="W11"/>
      <c r="X11" s="125" t="str">
        <f t="shared" ca="1" si="11"/>
        <v/>
      </c>
      <c r="Y11" s="161" t="str">
        <f ca="1">IFERROR(X11*0.3/VLOOKUP(H11,Listas!$M:$R,6,FALSE),"")</f>
        <v/>
      </c>
      <c r="Z11" s="161" t="str">
        <f t="shared" ca="1" si="12"/>
        <v/>
      </c>
      <c r="AA11" s="161" t="str">
        <f t="shared" ca="1" si="13"/>
        <v/>
      </c>
      <c r="AB11" s="161" t="str">
        <f t="shared" ca="1" si="14"/>
        <v/>
      </c>
      <c r="AC11" s="129" t="str">
        <f ca="1">IFERROR(AB11*Electricidad!$J$8,"")</f>
        <v/>
      </c>
      <c r="AD11" s="161" t="str">
        <f t="shared" ca="1" si="15"/>
        <v/>
      </c>
      <c r="AE11" s="127" t="str">
        <f ca="1">IFERROR(AD11*Electricidad!$J$8,"")</f>
        <v/>
      </c>
    </row>
    <row r="12" spans="2:31" s="35" customFormat="1" x14ac:dyDescent="0.25">
      <c r="B12" s="125"/>
      <c r="C12" s="125"/>
      <c r="D12" s="125" t="e">
        <f t="shared" ca="1" si="2"/>
        <v>#N/A</v>
      </c>
      <c r="E12" s="156" t="e">
        <f t="shared" ca="1" si="3"/>
        <v>#N/A</v>
      </c>
      <c r="F12" s="156" t="e">
        <f t="shared" ca="1" si="4"/>
        <v>#N/A</v>
      </c>
      <c r="G12" s="156" t="str">
        <f t="shared" ca="1" si="5"/>
        <v/>
      </c>
      <c r="H12" s="153"/>
      <c r="I12" s="155"/>
      <c r="J12" s="128" t="str">
        <f ca="1">IFERROR(VLOOKUP('Recambio luminarias'!G12,'Usos Electricidad'!$C$5:$E$200,3,FALSE),"")</f>
        <v/>
      </c>
      <c r="K12" s="156" t="str">
        <f ca="1">IFERROR(VLOOKUP('Recambio luminarias'!G12,'Usos Electricidad'!$C$5:$E$200,2,FALSE),"")</f>
        <v/>
      </c>
      <c r="L12" s="156" t="str">
        <f ca="1">IFERROR(VLOOKUP('Recambio luminarias'!G12,'Usos Electricidad'!$C$5:$AE$200,29,FALSE),"")</f>
        <v/>
      </c>
      <c r="M12" s="129" t="str">
        <f t="shared" ca="1" si="6"/>
        <v/>
      </c>
      <c r="N12" s="129" t="str">
        <f ca="1">IFERROR(M12*Electricidad!$J$8,"")</f>
        <v/>
      </c>
      <c r="P12" s="160" t="str">
        <f>IFERROR(VLOOKUP(H12,Listas!$M:$R,2,FALSE),"")</f>
        <v/>
      </c>
      <c r="Q12" s="161" t="str">
        <f t="shared" ca="1" si="7"/>
        <v/>
      </c>
      <c r="R12" s="161" t="str">
        <f t="shared" ca="1" si="8"/>
        <v/>
      </c>
      <c r="S12" s="161" t="str">
        <f t="shared" ca="1" si="9"/>
        <v/>
      </c>
      <c r="T12" s="129" t="str">
        <f ca="1">IFERROR(S12*Electricidad!$J$8,"")</f>
        <v/>
      </c>
      <c r="U12" s="161" t="str">
        <f t="shared" ca="1" si="10"/>
        <v/>
      </c>
      <c r="V12" s="127" t="str">
        <f ca="1">IFERROR(U12*Electricidad!$J$8,"")</f>
        <v/>
      </c>
      <c r="W12"/>
      <c r="X12" s="125" t="str">
        <f t="shared" ca="1" si="11"/>
        <v/>
      </c>
      <c r="Y12" s="161" t="str">
        <f ca="1">IFERROR(X12*0.3/VLOOKUP(H12,Listas!$M:$R,6,FALSE),"")</f>
        <v/>
      </c>
      <c r="Z12" s="161" t="str">
        <f t="shared" ca="1" si="12"/>
        <v/>
      </c>
      <c r="AA12" s="161" t="str">
        <f t="shared" ca="1" si="13"/>
        <v/>
      </c>
      <c r="AB12" s="161" t="str">
        <f t="shared" ca="1" si="14"/>
        <v/>
      </c>
      <c r="AC12" s="129" t="str">
        <f ca="1">IFERROR(AB12*Electricidad!$J$8,"")</f>
        <v/>
      </c>
      <c r="AD12" s="161" t="str">
        <f t="shared" ca="1" si="15"/>
        <v/>
      </c>
      <c r="AE12" s="127" t="str">
        <f ca="1">IFERROR(AD12*Electricidad!$J$8,"")</f>
        <v/>
      </c>
    </row>
    <row r="13" spans="2:31" s="35" customFormat="1" x14ac:dyDescent="0.25">
      <c r="B13" s="125"/>
      <c r="C13" s="125"/>
      <c r="D13" s="125" t="e">
        <f t="shared" ca="1" si="2"/>
        <v>#N/A</v>
      </c>
      <c r="E13" s="156" t="e">
        <f t="shared" ca="1" si="3"/>
        <v>#N/A</v>
      </c>
      <c r="F13" s="156" t="e">
        <f t="shared" ca="1" si="4"/>
        <v>#N/A</v>
      </c>
      <c r="G13" s="156" t="str">
        <f t="shared" ca="1" si="5"/>
        <v/>
      </c>
      <c r="H13" s="153"/>
      <c r="I13" s="155"/>
      <c r="J13" s="128" t="str">
        <f ca="1">IFERROR(VLOOKUP('Recambio luminarias'!G13,'Usos Electricidad'!$C$5:$E$200,3,FALSE),"")</f>
        <v/>
      </c>
      <c r="K13" s="156" t="str">
        <f ca="1">IFERROR(VLOOKUP('Recambio luminarias'!G13,'Usos Electricidad'!$C$5:$E$200,2,FALSE),"")</f>
        <v/>
      </c>
      <c r="L13" s="156" t="str">
        <f ca="1">IFERROR(VLOOKUP('Recambio luminarias'!G13,'Usos Electricidad'!$C$5:$AE$200,29,FALSE),"")</f>
        <v/>
      </c>
      <c r="M13" s="129" t="str">
        <f t="shared" ca="1" si="6"/>
        <v/>
      </c>
      <c r="N13" s="129" t="str">
        <f ca="1">IFERROR(M13*Electricidad!$J$8,"")</f>
        <v/>
      </c>
      <c r="P13" s="160" t="str">
        <f>IFERROR(VLOOKUP(H13,Listas!$M:$R,2,FALSE),"")</f>
        <v/>
      </c>
      <c r="Q13" s="161" t="str">
        <f t="shared" ca="1" si="7"/>
        <v/>
      </c>
      <c r="R13" s="161" t="str">
        <f t="shared" ca="1" si="8"/>
        <v/>
      </c>
      <c r="S13" s="161" t="str">
        <f t="shared" ca="1" si="9"/>
        <v/>
      </c>
      <c r="T13" s="129" t="str">
        <f ca="1">IFERROR(S13*Electricidad!$J$8,"")</f>
        <v/>
      </c>
      <c r="U13" s="161" t="str">
        <f t="shared" ca="1" si="10"/>
        <v/>
      </c>
      <c r="V13" s="127" t="str">
        <f ca="1">IFERROR(U13*Electricidad!$J$8,"")</f>
        <v/>
      </c>
      <c r="W13"/>
      <c r="X13" s="125" t="str">
        <f t="shared" ca="1" si="11"/>
        <v/>
      </c>
      <c r="Y13" s="161" t="str">
        <f ca="1">IFERROR(X13*0.3/VLOOKUP(H13,Listas!$M:$R,6,FALSE),"")</f>
        <v/>
      </c>
      <c r="Z13" s="161" t="str">
        <f t="shared" ca="1" si="12"/>
        <v/>
      </c>
      <c r="AA13" s="161" t="str">
        <f t="shared" ca="1" si="13"/>
        <v/>
      </c>
      <c r="AB13" s="161" t="str">
        <f t="shared" ca="1" si="14"/>
        <v/>
      </c>
      <c r="AC13" s="129" t="str">
        <f ca="1">IFERROR(AB13*Electricidad!$J$8,"")</f>
        <v/>
      </c>
      <c r="AD13" s="161" t="str">
        <f t="shared" ca="1" si="15"/>
        <v/>
      </c>
      <c r="AE13" s="127" t="str">
        <f ca="1">IFERROR(AD13*Electricidad!$J$8,"")</f>
        <v/>
      </c>
    </row>
    <row r="14" spans="2:31" s="35" customFormat="1" x14ac:dyDescent="0.25">
      <c r="B14" s="125"/>
      <c r="C14" s="125"/>
      <c r="D14" s="125" t="e">
        <f t="shared" ca="1" si="2"/>
        <v>#N/A</v>
      </c>
      <c r="E14" s="156" t="e">
        <f t="shared" ca="1" si="3"/>
        <v>#N/A</v>
      </c>
      <c r="F14" s="156" t="e">
        <f t="shared" ca="1" si="4"/>
        <v>#N/A</v>
      </c>
      <c r="G14" s="156" t="str">
        <f t="shared" ca="1" si="5"/>
        <v/>
      </c>
      <c r="H14" s="153"/>
      <c r="I14" s="155"/>
      <c r="J14" s="128" t="str">
        <f ca="1">IFERROR(VLOOKUP('Recambio luminarias'!G14,'Usos Electricidad'!$C$5:$E$200,3,FALSE),"")</f>
        <v/>
      </c>
      <c r="K14" s="156" t="str">
        <f ca="1">IFERROR(VLOOKUP('Recambio luminarias'!G14,'Usos Electricidad'!$C$5:$E$200,2,FALSE),"")</f>
        <v/>
      </c>
      <c r="L14" s="156" t="str">
        <f ca="1">IFERROR(VLOOKUP('Recambio luminarias'!G14,'Usos Electricidad'!$C$5:$AE$200,29,FALSE),"")</f>
        <v/>
      </c>
      <c r="M14" s="129" t="str">
        <f t="shared" ca="1" si="6"/>
        <v/>
      </c>
      <c r="N14" s="129" t="str">
        <f ca="1">IFERROR(M14*Electricidad!$J$8,"")</f>
        <v/>
      </c>
      <c r="P14" s="160" t="str">
        <f>IFERROR(VLOOKUP(H14,Listas!$M:$R,2,FALSE),"")</f>
        <v/>
      </c>
      <c r="Q14" s="161" t="str">
        <f t="shared" ca="1" si="7"/>
        <v/>
      </c>
      <c r="R14" s="161" t="str">
        <f t="shared" ca="1" si="8"/>
        <v/>
      </c>
      <c r="S14" s="161" t="str">
        <f t="shared" ca="1" si="9"/>
        <v/>
      </c>
      <c r="T14" s="129" t="str">
        <f ca="1">IFERROR(S14*Electricidad!$J$8,"")</f>
        <v/>
      </c>
      <c r="U14" s="161" t="str">
        <f t="shared" ca="1" si="10"/>
        <v/>
      </c>
      <c r="V14" s="127" t="str">
        <f ca="1">IFERROR(U14*Electricidad!$J$8,"")</f>
        <v/>
      </c>
      <c r="W14"/>
      <c r="X14" s="125" t="str">
        <f t="shared" ca="1" si="11"/>
        <v/>
      </c>
      <c r="Y14" s="161" t="str">
        <f ca="1">IFERROR(X14*0.3/VLOOKUP(H14,Listas!$M:$R,6,FALSE),"")</f>
        <v/>
      </c>
      <c r="Z14" s="161" t="str">
        <f t="shared" ca="1" si="12"/>
        <v/>
      </c>
      <c r="AA14" s="161" t="str">
        <f t="shared" ca="1" si="13"/>
        <v/>
      </c>
      <c r="AB14" s="161" t="str">
        <f t="shared" ca="1" si="14"/>
        <v/>
      </c>
      <c r="AC14" s="129" t="str">
        <f ca="1">IFERROR(AB14*Electricidad!$J$8,"")</f>
        <v/>
      </c>
      <c r="AD14" s="161" t="str">
        <f t="shared" ca="1" si="15"/>
        <v/>
      </c>
      <c r="AE14" s="127" t="str">
        <f ca="1">IFERROR(AD14*Electricidad!$J$8,"")</f>
        <v/>
      </c>
    </row>
    <row r="15" spans="2:31" s="35" customFormat="1" x14ac:dyDescent="0.25">
      <c r="B15" s="125"/>
      <c r="C15" s="125"/>
      <c r="D15" s="125" t="e">
        <f t="shared" ca="1" si="2"/>
        <v>#N/A</v>
      </c>
      <c r="E15" s="156" t="e">
        <f t="shared" ca="1" si="3"/>
        <v>#N/A</v>
      </c>
      <c r="F15" s="156" t="e">
        <f t="shared" ca="1" si="4"/>
        <v>#N/A</v>
      </c>
      <c r="G15" s="156" t="str">
        <f t="shared" ca="1" si="5"/>
        <v/>
      </c>
      <c r="H15" s="153"/>
      <c r="I15" s="155"/>
      <c r="J15" s="128" t="str">
        <f ca="1">IFERROR(VLOOKUP('Recambio luminarias'!G15,'Usos Electricidad'!$C$5:$E$200,3,FALSE),"")</f>
        <v/>
      </c>
      <c r="K15" s="156" t="str">
        <f ca="1">IFERROR(VLOOKUP('Recambio luminarias'!G15,'Usos Electricidad'!$C$5:$E$200,2,FALSE),"")</f>
        <v/>
      </c>
      <c r="L15" s="156" t="str">
        <f ca="1">IFERROR(VLOOKUP('Recambio luminarias'!G15,'Usos Electricidad'!$C$5:$AE$200,29,FALSE),"")</f>
        <v/>
      </c>
      <c r="M15" s="129" t="str">
        <f t="shared" ca="1" si="6"/>
        <v/>
      </c>
      <c r="N15" s="129" t="str">
        <f ca="1">IFERROR(M15*Electricidad!$J$8,"")</f>
        <v/>
      </c>
      <c r="P15" s="160" t="str">
        <f>IFERROR(VLOOKUP(H15,Listas!$M:$R,2,FALSE),"")</f>
        <v/>
      </c>
      <c r="Q15" s="161" t="str">
        <f t="shared" ca="1" si="7"/>
        <v/>
      </c>
      <c r="R15" s="161" t="str">
        <f t="shared" ca="1" si="8"/>
        <v/>
      </c>
      <c r="S15" s="161" t="str">
        <f t="shared" ca="1" si="9"/>
        <v/>
      </c>
      <c r="T15" s="129" t="str">
        <f ca="1">IFERROR(S15*Electricidad!$J$8,"")</f>
        <v/>
      </c>
      <c r="U15" s="161" t="str">
        <f t="shared" ca="1" si="10"/>
        <v/>
      </c>
      <c r="V15" s="127" t="str">
        <f ca="1">IFERROR(U15*Electricidad!$J$8,"")</f>
        <v/>
      </c>
      <c r="W15"/>
      <c r="X15" s="125" t="str">
        <f t="shared" ca="1" si="11"/>
        <v/>
      </c>
      <c r="Y15" s="161" t="str">
        <f ca="1">IFERROR(X15*0.3/VLOOKUP(H15,Listas!$M:$R,6,FALSE),"")</f>
        <v/>
      </c>
      <c r="Z15" s="161" t="str">
        <f t="shared" ca="1" si="12"/>
        <v/>
      </c>
      <c r="AA15" s="161" t="str">
        <f t="shared" ca="1" si="13"/>
        <v/>
      </c>
      <c r="AB15" s="161" t="str">
        <f t="shared" ca="1" si="14"/>
        <v/>
      </c>
      <c r="AC15" s="129" t="str">
        <f ca="1">IFERROR(AB15*Electricidad!$J$8,"")</f>
        <v/>
      </c>
      <c r="AD15" s="161" t="str">
        <f t="shared" ca="1" si="15"/>
        <v/>
      </c>
      <c r="AE15" s="127" t="str">
        <f ca="1">IFERROR(AD15*Electricidad!$J$8,"")</f>
        <v/>
      </c>
    </row>
    <row r="16" spans="2:31" x14ac:dyDescent="0.25">
      <c r="B16" s="125"/>
      <c r="C16" s="125"/>
      <c r="D16" s="125" t="e">
        <f t="shared" ca="1" si="2"/>
        <v>#N/A</v>
      </c>
      <c r="E16" s="156" t="e">
        <f t="shared" ca="1" si="3"/>
        <v>#N/A</v>
      </c>
      <c r="F16" s="156" t="e">
        <f t="shared" ca="1" si="4"/>
        <v>#N/A</v>
      </c>
      <c r="G16" s="156" t="str">
        <f t="shared" ca="1" si="5"/>
        <v/>
      </c>
      <c r="H16" s="153"/>
      <c r="I16" s="155"/>
      <c r="J16" s="128" t="str">
        <f ca="1">IFERROR(VLOOKUP('Recambio luminarias'!G16,'Usos Electricidad'!$C$5:$E$200,3,FALSE),"")</f>
        <v/>
      </c>
      <c r="K16" s="156" t="str">
        <f ca="1">IFERROR(VLOOKUP('Recambio luminarias'!G16,'Usos Electricidad'!$C$5:$E$200,2,FALSE),"")</f>
        <v/>
      </c>
      <c r="L16" s="156" t="str">
        <f ca="1">IFERROR(VLOOKUP('Recambio luminarias'!G16,'Usos Electricidad'!$C$5:$AE$200,29,FALSE),"")</f>
        <v/>
      </c>
      <c r="M16" s="129" t="str">
        <f t="shared" ca="1" si="6"/>
        <v/>
      </c>
      <c r="N16" s="129" t="str">
        <f ca="1">IFERROR(M16*Electricidad!$J$8,"")</f>
        <v/>
      </c>
      <c r="P16" s="160" t="str">
        <f>IFERROR(VLOOKUP(H16,Listas!$M:$R,2,FALSE),"")</f>
        <v/>
      </c>
      <c r="Q16" s="161" t="str">
        <f t="shared" ca="1" si="7"/>
        <v/>
      </c>
      <c r="R16" s="161" t="str">
        <f t="shared" ca="1" si="8"/>
        <v/>
      </c>
      <c r="S16" s="161" t="str">
        <f t="shared" ca="1" si="9"/>
        <v/>
      </c>
      <c r="T16" s="129" t="str">
        <f ca="1">IFERROR(S16*Electricidad!$J$8,"")</f>
        <v/>
      </c>
      <c r="U16" s="161" t="str">
        <f t="shared" ca="1" si="10"/>
        <v/>
      </c>
      <c r="V16" s="127" t="str">
        <f ca="1">IFERROR(U16*Electricidad!$J$8,"")</f>
        <v/>
      </c>
      <c r="X16" s="125" t="str">
        <f t="shared" ca="1" si="11"/>
        <v/>
      </c>
      <c r="Y16" s="161" t="str">
        <f ca="1">IFERROR(X16*0.3/VLOOKUP(H16,Listas!$M:$R,6,FALSE),"")</f>
        <v/>
      </c>
      <c r="Z16" s="161" t="str">
        <f t="shared" ca="1" si="12"/>
        <v/>
      </c>
      <c r="AA16" s="161" t="str">
        <f t="shared" ca="1" si="13"/>
        <v/>
      </c>
      <c r="AB16" s="161" t="str">
        <f t="shared" ca="1" si="14"/>
        <v/>
      </c>
      <c r="AC16" s="129" t="str">
        <f ca="1">IFERROR(AB16*Electricidad!$J$8,"")</f>
        <v/>
      </c>
      <c r="AD16" s="161" t="str">
        <f t="shared" ca="1" si="15"/>
        <v/>
      </c>
      <c r="AE16" s="127" t="str">
        <f ca="1">IFERROR(AD16*Electricidad!$J$8,"")</f>
        <v/>
      </c>
    </row>
    <row r="17" spans="2:31" x14ac:dyDescent="0.25">
      <c r="B17" s="125"/>
      <c r="C17" s="125"/>
      <c r="D17" s="125" t="e">
        <f t="shared" ca="1" si="2"/>
        <v>#N/A</v>
      </c>
      <c r="E17" s="156" t="e">
        <f t="shared" ca="1" si="3"/>
        <v>#N/A</v>
      </c>
      <c r="F17" s="156" t="e">
        <f t="shared" ca="1" si="4"/>
        <v>#N/A</v>
      </c>
      <c r="G17" s="156" t="str">
        <f t="shared" ca="1" si="5"/>
        <v/>
      </c>
      <c r="H17" s="153"/>
      <c r="I17" s="155"/>
      <c r="J17" s="128" t="str">
        <f ca="1">IFERROR(VLOOKUP('Recambio luminarias'!G17,'Usos Electricidad'!$C$5:$E$200,3,FALSE),"")</f>
        <v/>
      </c>
      <c r="K17" s="156" t="str">
        <f ca="1">IFERROR(VLOOKUP('Recambio luminarias'!G17,'Usos Electricidad'!$C$5:$E$200,2,FALSE),"")</f>
        <v/>
      </c>
      <c r="L17" s="156" t="str">
        <f ca="1">IFERROR(VLOOKUP('Recambio luminarias'!G17,'Usos Electricidad'!$C$5:$AE$200,29,FALSE),"")</f>
        <v/>
      </c>
      <c r="M17" s="129" t="str">
        <f t="shared" ca="1" si="6"/>
        <v/>
      </c>
      <c r="N17" s="129" t="str">
        <f ca="1">IFERROR(M17*Electricidad!$J$8,"")</f>
        <v/>
      </c>
      <c r="P17" s="160" t="str">
        <f>IFERROR(VLOOKUP(H17,Listas!$M:$R,2,FALSE),"")</f>
        <v/>
      </c>
      <c r="Q17" s="161" t="str">
        <f t="shared" ca="1" si="7"/>
        <v/>
      </c>
      <c r="R17" s="161" t="str">
        <f t="shared" ca="1" si="8"/>
        <v/>
      </c>
      <c r="S17" s="161" t="str">
        <f t="shared" ca="1" si="9"/>
        <v/>
      </c>
      <c r="T17" s="129" t="str">
        <f ca="1">IFERROR(S17*Electricidad!$J$8,"")</f>
        <v/>
      </c>
      <c r="U17" s="161" t="str">
        <f t="shared" ca="1" si="10"/>
        <v/>
      </c>
      <c r="V17" s="127" t="str">
        <f ca="1">IFERROR(U17*Electricidad!$J$8,"")</f>
        <v/>
      </c>
      <c r="X17" s="125" t="str">
        <f t="shared" ca="1" si="11"/>
        <v/>
      </c>
      <c r="Y17" s="161" t="str">
        <f ca="1">IFERROR(X17*0.3/VLOOKUP(H17,Listas!$M:$R,6,FALSE),"")</f>
        <v/>
      </c>
      <c r="Z17" s="161" t="str">
        <f t="shared" ca="1" si="12"/>
        <v/>
      </c>
      <c r="AA17" s="161" t="str">
        <f t="shared" ca="1" si="13"/>
        <v/>
      </c>
      <c r="AB17" s="161" t="str">
        <f t="shared" ca="1" si="14"/>
        <v/>
      </c>
      <c r="AC17" s="129" t="str">
        <f ca="1">IFERROR(AB17*Electricidad!$J$8,"")</f>
        <v/>
      </c>
      <c r="AD17" s="161" t="str">
        <f t="shared" ca="1" si="15"/>
        <v/>
      </c>
      <c r="AE17" s="127" t="str">
        <f ca="1">IFERROR(AD17*Electricidad!$J$8,"")</f>
        <v/>
      </c>
    </row>
    <row r="18" spans="2:31" x14ac:dyDescent="0.25">
      <c r="B18" s="125"/>
      <c r="C18" s="125"/>
      <c r="D18" s="125" t="e">
        <f t="shared" ca="1" si="2"/>
        <v>#N/A</v>
      </c>
      <c r="E18" s="156" t="e">
        <f t="shared" ca="1" si="3"/>
        <v>#N/A</v>
      </c>
      <c r="F18" s="156" t="e">
        <f t="shared" ca="1" si="4"/>
        <v>#N/A</v>
      </c>
      <c r="G18" s="156" t="str">
        <f t="shared" ca="1" si="5"/>
        <v/>
      </c>
      <c r="H18" s="153"/>
      <c r="I18" s="155"/>
      <c r="J18" s="128" t="str">
        <f ca="1">IFERROR(VLOOKUP('Recambio luminarias'!G18,'Usos Electricidad'!$C$5:$E$200,3,FALSE),"")</f>
        <v/>
      </c>
      <c r="K18" s="156" t="str">
        <f ca="1">IFERROR(VLOOKUP('Recambio luminarias'!G18,'Usos Electricidad'!$C$5:$E$200,2,FALSE),"")</f>
        <v/>
      </c>
      <c r="L18" s="156" t="str">
        <f ca="1">IFERROR(VLOOKUP('Recambio luminarias'!G18,'Usos Electricidad'!$C$5:$AE$200,29,FALSE),"")</f>
        <v/>
      </c>
      <c r="M18" s="129" t="str">
        <f t="shared" ca="1" si="6"/>
        <v/>
      </c>
      <c r="N18" s="129" t="str">
        <f ca="1">IFERROR(M18*Electricidad!$J$8,"")</f>
        <v/>
      </c>
      <c r="P18" s="160" t="str">
        <f>IFERROR(VLOOKUP(H18,Listas!$M:$R,2,FALSE),"")</f>
        <v/>
      </c>
      <c r="Q18" s="161" t="str">
        <f t="shared" ca="1" si="7"/>
        <v/>
      </c>
      <c r="R18" s="161" t="str">
        <f t="shared" ca="1" si="8"/>
        <v/>
      </c>
      <c r="S18" s="161" t="str">
        <f t="shared" ca="1" si="9"/>
        <v/>
      </c>
      <c r="T18" s="129" t="str">
        <f ca="1">IFERROR(S18*Electricidad!$J$8,"")</f>
        <v/>
      </c>
      <c r="U18" s="161" t="str">
        <f t="shared" ca="1" si="10"/>
        <v/>
      </c>
      <c r="V18" s="127" t="str">
        <f ca="1">IFERROR(U18*Electricidad!$J$8,"")</f>
        <v/>
      </c>
      <c r="X18" s="125" t="str">
        <f t="shared" ca="1" si="11"/>
        <v/>
      </c>
      <c r="Y18" s="161" t="str">
        <f ca="1">IFERROR(X18*0.3/VLOOKUP(H18,Listas!$M:$R,6,FALSE),"")</f>
        <v/>
      </c>
      <c r="Z18" s="161" t="str">
        <f t="shared" ca="1" si="12"/>
        <v/>
      </c>
      <c r="AA18" s="161" t="str">
        <f t="shared" ca="1" si="13"/>
        <v/>
      </c>
      <c r="AB18" s="161" t="str">
        <f t="shared" ca="1" si="14"/>
        <v/>
      </c>
      <c r="AC18" s="129" t="str">
        <f ca="1">IFERROR(AB18*Electricidad!$J$8,"")</f>
        <v/>
      </c>
      <c r="AD18" s="161" t="str">
        <f t="shared" ca="1" si="15"/>
        <v/>
      </c>
      <c r="AE18" s="127" t="str">
        <f ca="1">IFERROR(AD18*Electricidad!$J$8,"")</f>
        <v/>
      </c>
    </row>
    <row r="19" spans="2:31" x14ac:dyDescent="0.25">
      <c r="B19" s="125"/>
      <c r="C19" s="125"/>
      <c r="D19" s="125" t="e">
        <f t="shared" ca="1" si="2"/>
        <v>#N/A</v>
      </c>
      <c r="E19" s="156" t="e">
        <f t="shared" ca="1" si="3"/>
        <v>#N/A</v>
      </c>
      <c r="F19" s="156" t="e">
        <f t="shared" ca="1" si="4"/>
        <v>#N/A</v>
      </c>
      <c r="G19" s="156" t="str">
        <f t="shared" ca="1" si="5"/>
        <v/>
      </c>
      <c r="H19" s="153"/>
      <c r="I19" s="155"/>
      <c r="J19" s="128" t="str">
        <f ca="1">IFERROR(VLOOKUP('Recambio luminarias'!G19,'Usos Electricidad'!$C$5:$E$200,3,FALSE),"")</f>
        <v/>
      </c>
      <c r="K19" s="156" t="str">
        <f ca="1">IFERROR(VLOOKUP('Recambio luminarias'!G19,'Usos Electricidad'!$C$5:$E$200,2,FALSE),"")</f>
        <v/>
      </c>
      <c r="L19" s="156" t="str">
        <f ca="1">IFERROR(VLOOKUP('Recambio luminarias'!G19,'Usos Electricidad'!$C$5:$AE$200,29,FALSE),"")</f>
        <v/>
      </c>
      <c r="M19" s="129" t="str">
        <f t="shared" ca="1" si="6"/>
        <v/>
      </c>
      <c r="N19" s="129" t="str">
        <f ca="1">IFERROR(M19*Electricidad!$J$8,"")</f>
        <v/>
      </c>
      <c r="P19" s="160" t="str">
        <f>IFERROR(VLOOKUP(H19,Listas!$M:$R,2,FALSE),"")</f>
        <v/>
      </c>
      <c r="Q19" s="161" t="str">
        <f t="shared" ca="1" si="7"/>
        <v/>
      </c>
      <c r="R19" s="161" t="str">
        <f t="shared" ca="1" si="8"/>
        <v/>
      </c>
      <c r="S19" s="161" t="str">
        <f t="shared" ca="1" si="9"/>
        <v/>
      </c>
      <c r="T19" s="129" t="str">
        <f ca="1">IFERROR(S19*Electricidad!$J$8,"")</f>
        <v/>
      </c>
      <c r="U19" s="161" t="str">
        <f t="shared" ca="1" si="10"/>
        <v/>
      </c>
      <c r="V19" s="127" t="str">
        <f ca="1">IFERROR(U19*Electricidad!$J$8,"")</f>
        <v/>
      </c>
      <c r="X19" s="125" t="str">
        <f t="shared" ca="1" si="11"/>
        <v/>
      </c>
      <c r="Y19" s="161" t="str">
        <f ca="1">IFERROR(X19*0.3/VLOOKUP(H19,Listas!$M:$R,6,FALSE),"")</f>
        <v/>
      </c>
      <c r="Z19" s="161" t="str">
        <f t="shared" ca="1" si="12"/>
        <v/>
      </c>
      <c r="AA19" s="161" t="str">
        <f t="shared" ca="1" si="13"/>
        <v/>
      </c>
      <c r="AB19" s="161" t="str">
        <f t="shared" ca="1" si="14"/>
        <v/>
      </c>
      <c r="AC19" s="129" t="str">
        <f ca="1">IFERROR(AB19*Electricidad!$J$8,"")</f>
        <v/>
      </c>
      <c r="AD19" s="161" t="str">
        <f t="shared" ca="1" si="15"/>
        <v/>
      </c>
      <c r="AE19" s="127" t="str">
        <f ca="1">IFERROR(AD19*Electricidad!$J$8,"")</f>
        <v/>
      </c>
    </row>
    <row r="20" spans="2:31" x14ac:dyDescent="0.25">
      <c r="B20" s="125"/>
      <c r="C20" s="125"/>
      <c r="D20" s="125" t="e">
        <f t="shared" ca="1" si="2"/>
        <v>#N/A</v>
      </c>
      <c r="E20" s="156" t="e">
        <f t="shared" ca="1" si="3"/>
        <v>#N/A</v>
      </c>
      <c r="F20" s="156" t="e">
        <f t="shared" ca="1" si="4"/>
        <v>#N/A</v>
      </c>
      <c r="G20" s="156" t="str">
        <f t="shared" ca="1" si="5"/>
        <v/>
      </c>
      <c r="H20" s="153"/>
      <c r="I20" s="155"/>
      <c r="J20" s="128" t="str">
        <f ca="1">IFERROR(VLOOKUP('Recambio luminarias'!G20,'Usos Electricidad'!$C$5:$E$200,3,FALSE),"")</f>
        <v/>
      </c>
      <c r="K20" s="156" t="str">
        <f ca="1">IFERROR(VLOOKUP('Recambio luminarias'!G20,'Usos Electricidad'!$C$5:$E$200,2,FALSE),"")</f>
        <v/>
      </c>
      <c r="L20" s="156" t="str">
        <f ca="1">IFERROR(VLOOKUP('Recambio luminarias'!G20,'Usos Electricidad'!$C$5:$AE$200,29,FALSE),"")</f>
        <v/>
      </c>
      <c r="M20" s="129" t="str">
        <f t="shared" ca="1" si="6"/>
        <v/>
      </c>
      <c r="N20" s="129" t="str">
        <f ca="1">IFERROR(M20*Electricidad!$J$8,"")</f>
        <v/>
      </c>
      <c r="P20" s="160" t="str">
        <f>IFERROR(VLOOKUP(H20,Listas!$M:$R,2,FALSE),"")</f>
        <v/>
      </c>
      <c r="Q20" s="161" t="str">
        <f t="shared" ca="1" si="7"/>
        <v/>
      </c>
      <c r="R20" s="161" t="str">
        <f t="shared" ca="1" si="8"/>
        <v/>
      </c>
      <c r="S20" s="161" t="str">
        <f t="shared" ca="1" si="9"/>
        <v/>
      </c>
      <c r="T20" s="129" t="str">
        <f ca="1">IFERROR(S20*Electricidad!$J$8,"")</f>
        <v/>
      </c>
      <c r="U20" s="161" t="str">
        <f t="shared" ca="1" si="10"/>
        <v/>
      </c>
      <c r="V20" s="127" t="str">
        <f ca="1">IFERROR(U20*Electricidad!$J$8,"")</f>
        <v/>
      </c>
      <c r="X20" s="125" t="str">
        <f t="shared" ca="1" si="11"/>
        <v/>
      </c>
      <c r="Y20" s="161" t="str">
        <f ca="1">IFERROR(X20*0.3/VLOOKUP(H20,Listas!$M:$R,6,FALSE),"")</f>
        <v/>
      </c>
      <c r="Z20" s="161" t="str">
        <f t="shared" ca="1" si="12"/>
        <v/>
      </c>
      <c r="AA20" s="161" t="str">
        <f t="shared" ca="1" si="13"/>
        <v/>
      </c>
      <c r="AB20" s="161" t="str">
        <f t="shared" ca="1" si="14"/>
        <v/>
      </c>
      <c r="AC20" s="129" t="str">
        <f ca="1">IFERROR(AB20*Electricidad!$J$8,"")</f>
        <v/>
      </c>
      <c r="AD20" s="161" t="str">
        <f t="shared" ca="1" si="15"/>
        <v/>
      </c>
      <c r="AE20" s="127" t="str">
        <f ca="1">IFERROR(AD20*Electricidad!$J$8,"")</f>
        <v/>
      </c>
    </row>
    <row r="21" spans="2:31" x14ac:dyDescent="0.25">
      <c r="B21" s="125"/>
      <c r="C21" s="125"/>
      <c r="D21" s="125" t="e">
        <f t="shared" ca="1" si="2"/>
        <v>#N/A</v>
      </c>
      <c r="E21" s="156" t="e">
        <f t="shared" ca="1" si="3"/>
        <v>#N/A</v>
      </c>
      <c r="F21" s="156" t="e">
        <f t="shared" ca="1" si="4"/>
        <v>#N/A</v>
      </c>
      <c r="G21" s="156" t="str">
        <f t="shared" ca="1" si="5"/>
        <v/>
      </c>
      <c r="H21" s="153"/>
      <c r="I21" s="155"/>
      <c r="J21" s="128" t="str">
        <f ca="1">IFERROR(VLOOKUP('Recambio luminarias'!G21,'Usos Electricidad'!$C$5:$E$200,3,FALSE),"")</f>
        <v/>
      </c>
      <c r="K21" s="156" t="str">
        <f ca="1">IFERROR(VLOOKUP('Recambio luminarias'!G21,'Usos Electricidad'!$C$5:$E$200,2,FALSE),"")</f>
        <v/>
      </c>
      <c r="L21" s="156" t="str">
        <f ca="1">IFERROR(VLOOKUP('Recambio luminarias'!G21,'Usos Electricidad'!$C$5:$AE$200,29,FALSE),"")</f>
        <v/>
      </c>
      <c r="M21" s="129" t="str">
        <f t="shared" ca="1" si="6"/>
        <v/>
      </c>
      <c r="N21" s="129" t="str">
        <f ca="1">IFERROR(M21*Electricidad!$J$8,"")</f>
        <v/>
      </c>
      <c r="P21" s="160" t="str">
        <f>IFERROR(VLOOKUP(H21,Listas!$M:$R,2,FALSE),"")</f>
        <v/>
      </c>
      <c r="Q21" s="161" t="str">
        <f t="shared" ca="1" si="7"/>
        <v/>
      </c>
      <c r="R21" s="161" t="str">
        <f t="shared" ca="1" si="8"/>
        <v/>
      </c>
      <c r="S21" s="161" t="str">
        <f t="shared" ca="1" si="9"/>
        <v/>
      </c>
      <c r="T21" s="129" t="str">
        <f ca="1">IFERROR(S21*Electricidad!$J$8,"")</f>
        <v/>
      </c>
      <c r="U21" s="161" t="str">
        <f t="shared" ca="1" si="10"/>
        <v/>
      </c>
      <c r="V21" s="127" t="str">
        <f ca="1">IFERROR(U21*Electricidad!$J$8,"")</f>
        <v/>
      </c>
      <c r="X21" s="125" t="str">
        <f t="shared" ca="1" si="11"/>
        <v/>
      </c>
      <c r="Y21" s="161" t="str">
        <f ca="1">IFERROR(X21*0.3/VLOOKUP(H21,Listas!$M:$R,6,FALSE),"")</f>
        <v/>
      </c>
      <c r="Z21" s="161" t="str">
        <f t="shared" ca="1" si="12"/>
        <v/>
      </c>
      <c r="AA21" s="161" t="str">
        <f t="shared" ca="1" si="13"/>
        <v/>
      </c>
      <c r="AB21" s="161" t="str">
        <f t="shared" ca="1" si="14"/>
        <v/>
      </c>
      <c r="AC21" s="129" t="str">
        <f ca="1">IFERROR(AB21*Electricidad!$J$8,"")</f>
        <v/>
      </c>
      <c r="AD21" s="161" t="str">
        <f t="shared" ca="1" si="15"/>
        <v/>
      </c>
      <c r="AE21" s="127" t="str">
        <f ca="1">IFERROR(AD21*Electricidad!$J$8,"")</f>
        <v/>
      </c>
    </row>
    <row r="22" spans="2:31" x14ac:dyDescent="0.25">
      <c r="B22" s="125"/>
      <c r="C22" s="125"/>
      <c r="D22" s="125" t="e">
        <f t="shared" ca="1" si="2"/>
        <v>#N/A</v>
      </c>
      <c r="E22" s="156" t="e">
        <f t="shared" ca="1" si="3"/>
        <v>#N/A</v>
      </c>
      <c r="F22" s="156" t="e">
        <f t="shared" ca="1" si="4"/>
        <v>#N/A</v>
      </c>
      <c r="G22" s="156" t="str">
        <f t="shared" ca="1" si="5"/>
        <v/>
      </c>
      <c r="H22" s="153"/>
      <c r="I22" s="155"/>
      <c r="J22" s="128" t="str">
        <f ca="1">IFERROR(VLOOKUP('Recambio luminarias'!G22,'Usos Electricidad'!$C$5:$E$200,3,FALSE),"")</f>
        <v/>
      </c>
      <c r="K22" s="156" t="str">
        <f ca="1">IFERROR(VLOOKUP('Recambio luminarias'!G22,'Usos Electricidad'!$C$5:$E$200,2,FALSE),"")</f>
        <v/>
      </c>
      <c r="L22" s="156" t="str">
        <f ca="1">IFERROR(VLOOKUP('Recambio luminarias'!G22,'Usos Electricidad'!$C$5:$AE$200,29,FALSE),"")</f>
        <v/>
      </c>
      <c r="M22" s="129" t="str">
        <f t="shared" ca="1" si="6"/>
        <v/>
      </c>
      <c r="N22" s="129" t="str">
        <f ca="1">IFERROR(M22*Electricidad!$J$8,"")</f>
        <v/>
      </c>
      <c r="P22" s="160" t="str">
        <f>IFERROR(VLOOKUP(H22,Listas!$M:$R,2,FALSE),"")</f>
        <v/>
      </c>
      <c r="Q22" s="161" t="str">
        <f t="shared" ca="1" si="7"/>
        <v/>
      </c>
      <c r="R22" s="161" t="str">
        <f t="shared" ca="1" si="8"/>
        <v/>
      </c>
      <c r="S22" s="161" t="str">
        <f t="shared" ca="1" si="9"/>
        <v/>
      </c>
      <c r="T22" s="129" t="str">
        <f ca="1">IFERROR(S22*Electricidad!$J$8,"")</f>
        <v/>
      </c>
      <c r="U22" s="161" t="str">
        <f t="shared" ca="1" si="10"/>
        <v/>
      </c>
      <c r="V22" s="127" t="str">
        <f ca="1">IFERROR(U22*Electricidad!$J$8,"")</f>
        <v/>
      </c>
      <c r="X22" s="125" t="str">
        <f t="shared" ca="1" si="11"/>
        <v/>
      </c>
      <c r="Y22" s="161" t="str">
        <f ca="1">IFERROR(X22*0.3/VLOOKUP(H22,Listas!$M:$R,6,FALSE),"")</f>
        <v/>
      </c>
      <c r="Z22" s="161" t="str">
        <f t="shared" ca="1" si="12"/>
        <v/>
      </c>
      <c r="AA22" s="161" t="str">
        <f t="shared" ca="1" si="13"/>
        <v/>
      </c>
      <c r="AB22" s="161" t="str">
        <f t="shared" ca="1" si="14"/>
        <v/>
      </c>
      <c r="AC22" s="129" t="str">
        <f ca="1">IFERROR(AB22*Electricidad!$J$8,"")</f>
        <v/>
      </c>
      <c r="AD22" s="161" t="str">
        <f t="shared" ca="1" si="15"/>
        <v/>
      </c>
      <c r="AE22" s="127" t="str">
        <f ca="1">IFERROR(AD22*Electricidad!$J$8,"")</f>
        <v/>
      </c>
    </row>
    <row r="23" spans="2:31" x14ac:dyDescent="0.25">
      <c r="B23" s="125"/>
      <c r="C23" s="125"/>
      <c r="D23" s="125" t="e">
        <f t="shared" ca="1" si="2"/>
        <v>#N/A</v>
      </c>
      <c r="E23" s="156" t="e">
        <f t="shared" ca="1" si="3"/>
        <v>#N/A</v>
      </c>
      <c r="F23" s="156" t="e">
        <f t="shared" ca="1" si="4"/>
        <v>#N/A</v>
      </c>
      <c r="G23" s="156" t="str">
        <f t="shared" ca="1" si="5"/>
        <v/>
      </c>
      <c r="H23" s="153"/>
      <c r="I23" s="155"/>
      <c r="J23" s="128" t="str">
        <f ca="1">IFERROR(VLOOKUP('Recambio luminarias'!G23,'Usos Electricidad'!$C$5:$E$200,3,FALSE),"")</f>
        <v/>
      </c>
      <c r="K23" s="156" t="str">
        <f ca="1">IFERROR(VLOOKUP('Recambio luminarias'!G23,'Usos Electricidad'!$C$5:$E$200,2,FALSE),"")</f>
        <v/>
      </c>
      <c r="L23" s="156" t="str">
        <f ca="1">IFERROR(VLOOKUP('Recambio luminarias'!G23,'Usos Electricidad'!$C$5:$AE$200,29,FALSE),"")</f>
        <v/>
      </c>
      <c r="M23" s="129" t="str">
        <f t="shared" ca="1" si="6"/>
        <v/>
      </c>
      <c r="N23" s="129" t="str">
        <f ca="1">IFERROR(M23*Electricidad!$J$8,"")</f>
        <v/>
      </c>
      <c r="P23" s="160" t="str">
        <f>IFERROR(VLOOKUP(H23,Listas!$M:$R,2,FALSE),"")</f>
        <v/>
      </c>
      <c r="Q23" s="161" t="str">
        <f t="shared" ca="1" si="7"/>
        <v/>
      </c>
      <c r="R23" s="161" t="str">
        <f t="shared" ca="1" si="8"/>
        <v/>
      </c>
      <c r="S23" s="161" t="str">
        <f t="shared" ca="1" si="9"/>
        <v/>
      </c>
      <c r="T23" s="129" t="str">
        <f ca="1">IFERROR(S23*Electricidad!$J$8,"")</f>
        <v/>
      </c>
      <c r="U23" s="161" t="str">
        <f t="shared" ca="1" si="10"/>
        <v/>
      </c>
      <c r="V23" s="127" t="str">
        <f ca="1">IFERROR(U23*Electricidad!$J$8,"")</f>
        <v/>
      </c>
      <c r="X23" s="125" t="str">
        <f t="shared" ca="1" si="11"/>
        <v/>
      </c>
      <c r="Y23" s="161" t="str">
        <f ca="1">IFERROR(X23*0.3/VLOOKUP(H23,Listas!$M:$R,6,FALSE),"")</f>
        <v/>
      </c>
      <c r="Z23" s="161" t="str">
        <f t="shared" ca="1" si="12"/>
        <v/>
      </c>
      <c r="AA23" s="161" t="str">
        <f t="shared" ca="1" si="13"/>
        <v/>
      </c>
      <c r="AB23" s="161" t="str">
        <f t="shared" ca="1" si="14"/>
        <v/>
      </c>
      <c r="AC23" s="129" t="str">
        <f ca="1">IFERROR(AB23*Electricidad!$J$8,"")</f>
        <v/>
      </c>
      <c r="AD23" s="161" t="str">
        <f t="shared" ca="1" si="15"/>
        <v/>
      </c>
      <c r="AE23" s="127" t="str">
        <f ca="1">IFERROR(AD23*Electricidad!$J$8,"")</f>
        <v/>
      </c>
    </row>
    <row r="24" spans="2:31" x14ac:dyDescent="0.25">
      <c r="B24" s="125"/>
      <c r="C24" s="125"/>
      <c r="D24" s="125" t="e">
        <f t="shared" ca="1" si="2"/>
        <v>#N/A</v>
      </c>
      <c r="E24" s="156" t="e">
        <f t="shared" ca="1" si="3"/>
        <v>#N/A</v>
      </c>
      <c r="F24" s="156" t="e">
        <f t="shared" ca="1" si="4"/>
        <v>#N/A</v>
      </c>
      <c r="G24" s="156" t="str">
        <f t="shared" ca="1" si="5"/>
        <v/>
      </c>
      <c r="H24" s="153"/>
      <c r="I24" s="155"/>
      <c r="J24" s="128" t="str">
        <f ca="1">IFERROR(VLOOKUP('Recambio luminarias'!G24,'Usos Electricidad'!$C$5:$E$200,3,FALSE),"")</f>
        <v/>
      </c>
      <c r="K24" s="156" t="str">
        <f ca="1">IFERROR(VLOOKUP('Recambio luminarias'!G24,'Usos Electricidad'!$C$5:$E$200,2,FALSE),"")</f>
        <v/>
      </c>
      <c r="L24" s="156" t="str">
        <f ca="1">IFERROR(VLOOKUP('Recambio luminarias'!G24,'Usos Electricidad'!$C$5:$AE$200,29,FALSE),"")</f>
        <v/>
      </c>
      <c r="M24" s="129" t="str">
        <f t="shared" ca="1" si="6"/>
        <v/>
      </c>
      <c r="N24" s="129" t="str">
        <f ca="1">IFERROR(M24*Electricidad!$J$8,"")</f>
        <v/>
      </c>
      <c r="P24" s="160" t="str">
        <f>IFERROR(VLOOKUP(H24,Listas!$M:$R,2,FALSE),"")</f>
        <v/>
      </c>
      <c r="Q24" s="161" t="str">
        <f t="shared" ca="1" si="7"/>
        <v/>
      </c>
      <c r="R24" s="161" t="str">
        <f t="shared" ca="1" si="8"/>
        <v/>
      </c>
      <c r="S24" s="161" t="str">
        <f t="shared" ca="1" si="9"/>
        <v/>
      </c>
      <c r="T24" s="129" t="str">
        <f ca="1">IFERROR(S24*Electricidad!$J$8,"")</f>
        <v/>
      </c>
      <c r="U24" s="161" t="str">
        <f t="shared" ca="1" si="10"/>
        <v/>
      </c>
      <c r="V24" s="127" t="str">
        <f ca="1">IFERROR(U24*Electricidad!$J$8,"")</f>
        <v/>
      </c>
      <c r="X24" s="125" t="str">
        <f t="shared" ca="1" si="11"/>
        <v/>
      </c>
      <c r="Y24" s="161" t="str">
        <f ca="1">IFERROR(X24*0.3/VLOOKUP(H24,Listas!$M:$R,6,FALSE),"")</f>
        <v/>
      </c>
      <c r="Z24" s="161" t="str">
        <f t="shared" ca="1" si="12"/>
        <v/>
      </c>
      <c r="AA24" s="161" t="str">
        <f t="shared" ca="1" si="13"/>
        <v/>
      </c>
      <c r="AB24" s="161" t="str">
        <f t="shared" ca="1" si="14"/>
        <v/>
      </c>
      <c r="AC24" s="129" t="str">
        <f ca="1">IFERROR(AB24*Electricidad!$J$8,"")</f>
        <v/>
      </c>
      <c r="AD24" s="161" t="str">
        <f t="shared" ca="1" si="15"/>
        <v/>
      </c>
      <c r="AE24" s="127" t="str">
        <f ca="1">IFERROR(AD24*Electricidad!$J$8,"")</f>
        <v/>
      </c>
    </row>
    <row r="25" spans="2:31" x14ac:dyDescent="0.25">
      <c r="B25" s="125"/>
      <c r="C25" s="125"/>
      <c r="D25" s="125" t="e">
        <f t="shared" ca="1" si="2"/>
        <v>#N/A</v>
      </c>
      <c r="E25" s="156" t="e">
        <f t="shared" ca="1" si="3"/>
        <v>#N/A</v>
      </c>
      <c r="F25" s="156" t="e">
        <f t="shared" ca="1" si="4"/>
        <v>#N/A</v>
      </c>
      <c r="G25" s="156" t="str">
        <f t="shared" ca="1" si="5"/>
        <v/>
      </c>
      <c r="H25" s="153"/>
      <c r="I25" s="155"/>
      <c r="J25" s="128" t="str">
        <f ca="1">IFERROR(VLOOKUP('Recambio luminarias'!G25,'Usos Electricidad'!$C$5:$E$200,3,FALSE),"")</f>
        <v/>
      </c>
      <c r="K25" s="156" t="str">
        <f ca="1">IFERROR(VLOOKUP('Recambio luminarias'!G25,'Usos Electricidad'!$C$5:$E$200,2,FALSE),"")</f>
        <v/>
      </c>
      <c r="L25" s="156" t="str">
        <f ca="1">IFERROR(VLOOKUP('Recambio luminarias'!G25,'Usos Electricidad'!$C$5:$AE$200,29,FALSE),"")</f>
        <v/>
      </c>
      <c r="M25" s="129" t="str">
        <f t="shared" ca="1" si="6"/>
        <v/>
      </c>
      <c r="N25" s="129" t="str">
        <f ca="1">IFERROR(M25*Electricidad!$J$8,"")</f>
        <v/>
      </c>
      <c r="P25" s="160" t="str">
        <f>IFERROR(VLOOKUP(H25,Listas!$M:$R,2,FALSE),"")</f>
        <v/>
      </c>
      <c r="Q25" s="161" t="str">
        <f t="shared" ca="1" si="7"/>
        <v/>
      </c>
      <c r="R25" s="161" t="str">
        <f t="shared" ca="1" si="8"/>
        <v/>
      </c>
      <c r="S25" s="161" t="str">
        <f t="shared" ca="1" si="9"/>
        <v/>
      </c>
      <c r="T25" s="129" t="str">
        <f ca="1">IFERROR(S25*Electricidad!$J$8,"")</f>
        <v/>
      </c>
      <c r="U25" s="161" t="str">
        <f t="shared" ca="1" si="10"/>
        <v/>
      </c>
      <c r="V25" s="127" t="str">
        <f ca="1">IFERROR(U25*Electricidad!$J$8,"")</f>
        <v/>
      </c>
      <c r="X25" s="125" t="str">
        <f t="shared" ca="1" si="11"/>
        <v/>
      </c>
      <c r="Y25" s="161" t="str">
        <f ca="1">IFERROR(X25*0.3/VLOOKUP(H25,Listas!$M:$R,6,FALSE),"")</f>
        <v/>
      </c>
      <c r="Z25" s="161" t="str">
        <f t="shared" ca="1" si="12"/>
        <v/>
      </c>
      <c r="AA25" s="161" t="str">
        <f t="shared" ca="1" si="13"/>
        <v/>
      </c>
      <c r="AB25" s="161" t="str">
        <f t="shared" ca="1" si="14"/>
        <v/>
      </c>
      <c r="AC25" s="129" t="str">
        <f ca="1">IFERROR(AB25*Electricidad!$J$8,"")</f>
        <v/>
      </c>
      <c r="AD25" s="161" t="str">
        <f t="shared" ca="1" si="15"/>
        <v/>
      </c>
      <c r="AE25" s="127" t="str">
        <f ca="1">IFERROR(AD25*Electricidad!$J$8,"")</f>
        <v/>
      </c>
    </row>
    <row r="26" spans="2:31" s="35" customFormat="1" x14ac:dyDescent="0.25">
      <c r="B26" s="125"/>
      <c r="C26" s="125"/>
      <c r="D26" s="125" t="e">
        <f t="shared" ca="1" si="2"/>
        <v>#N/A</v>
      </c>
      <c r="E26" s="156" t="e">
        <f t="shared" ca="1" si="3"/>
        <v>#N/A</v>
      </c>
      <c r="F26" s="156" t="e">
        <f t="shared" ca="1" si="4"/>
        <v>#N/A</v>
      </c>
      <c r="G26" s="156" t="str">
        <f t="shared" ca="1" si="5"/>
        <v/>
      </c>
      <c r="H26" s="153"/>
      <c r="I26" s="155"/>
      <c r="J26" s="128" t="str">
        <f ca="1">IFERROR(VLOOKUP('Recambio luminarias'!G26,'Usos Electricidad'!$C$5:$E$200,3,FALSE),"")</f>
        <v/>
      </c>
      <c r="K26" s="156" t="str">
        <f ca="1">IFERROR(VLOOKUP('Recambio luminarias'!G26,'Usos Electricidad'!$C$5:$E$200,2,FALSE),"")</f>
        <v/>
      </c>
      <c r="L26" s="156" t="str">
        <f ca="1">IFERROR(VLOOKUP('Recambio luminarias'!G26,'Usos Electricidad'!$C$5:$AE$200,29,FALSE),"")</f>
        <v/>
      </c>
      <c r="M26" s="129" t="str">
        <f t="shared" ca="1" si="6"/>
        <v/>
      </c>
      <c r="N26" s="129" t="str">
        <f ca="1">IFERROR(M26*Electricidad!$J$8,"")</f>
        <v/>
      </c>
      <c r="P26" s="160" t="str">
        <f>IFERROR(VLOOKUP(H26,Listas!$M:$R,2,FALSE),"")</f>
        <v/>
      </c>
      <c r="Q26" s="161" t="str">
        <f t="shared" ca="1" si="7"/>
        <v/>
      </c>
      <c r="R26" s="161" t="str">
        <f t="shared" ca="1" si="8"/>
        <v/>
      </c>
      <c r="S26" s="161" t="str">
        <f t="shared" ca="1" si="9"/>
        <v/>
      </c>
      <c r="T26" s="129" t="str">
        <f ca="1">IFERROR(S26*Electricidad!$J$8,"")</f>
        <v/>
      </c>
      <c r="U26" s="161" t="str">
        <f t="shared" ca="1" si="10"/>
        <v/>
      </c>
      <c r="V26" s="127" t="str">
        <f ca="1">IFERROR(U26*Electricidad!$J$8,"")</f>
        <v/>
      </c>
      <c r="X26" s="125" t="str">
        <f t="shared" ca="1" si="11"/>
        <v/>
      </c>
      <c r="Y26" s="161" t="str">
        <f ca="1">IFERROR(X26*0.3/VLOOKUP(H26,Listas!$M:$R,6,FALSE),"")</f>
        <v/>
      </c>
      <c r="Z26" s="161" t="str">
        <f t="shared" ca="1" si="12"/>
        <v/>
      </c>
      <c r="AA26" s="161" t="str">
        <f t="shared" ca="1" si="13"/>
        <v/>
      </c>
      <c r="AB26" s="161" t="str">
        <f t="shared" ca="1" si="14"/>
        <v/>
      </c>
      <c r="AC26" s="129" t="str">
        <f ca="1">IFERROR(AB26*Electricidad!$J$8,"")</f>
        <v/>
      </c>
      <c r="AD26" s="161" t="str">
        <f t="shared" ca="1" si="15"/>
        <v/>
      </c>
      <c r="AE26" s="127" t="str">
        <f ca="1">IFERROR(AD26*Electricidad!$J$8,"")</f>
        <v/>
      </c>
    </row>
    <row r="27" spans="2:31" s="35" customFormat="1" x14ac:dyDescent="0.25">
      <c r="B27" s="125"/>
      <c r="C27" s="125"/>
      <c r="D27" s="125" t="e">
        <f t="shared" ca="1" si="2"/>
        <v>#N/A</v>
      </c>
      <c r="E27" s="156" t="e">
        <f t="shared" ca="1" si="3"/>
        <v>#N/A</v>
      </c>
      <c r="F27" s="156" t="e">
        <f t="shared" ca="1" si="4"/>
        <v>#N/A</v>
      </c>
      <c r="G27" s="156" t="str">
        <f t="shared" ca="1" si="5"/>
        <v/>
      </c>
      <c r="H27" s="153"/>
      <c r="I27" s="155"/>
      <c r="J27" s="128" t="str">
        <f ca="1">IFERROR(VLOOKUP('Recambio luminarias'!G27,'Usos Electricidad'!$C$5:$E$200,3,FALSE),"")</f>
        <v/>
      </c>
      <c r="K27" s="156" t="str">
        <f ca="1">IFERROR(VLOOKUP('Recambio luminarias'!G27,'Usos Electricidad'!$C$5:$E$200,2,FALSE),"")</f>
        <v/>
      </c>
      <c r="L27" s="156" t="str">
        <f ca="1">IFERROR(VLOOKUP('Recambio luminarias'!G27,'Usos Electricidad'!$C$5:$AE$200,29,FALSE),"")</f>
        <v/>
      </c>
      <c r="M27" s="129" t="str">
        <f t="shared" ca="1" si="6"/>
        <v/>
      </c>
      <c r="N27" s="129" t="str">
        <f ca="1">IFERROR(M27*Electricidad!$J$8,"")</f>
        <v/>
      </c>
      <c r="P27" s="160" t="str">
        <f>IFERROR(VLOOKUP(H27,Listas!$M:$R,2,FALSE),"")</f>
        <v/>
      </c>
      <c r="Q27" s="161" t="str">
        <f t="shared" ca="1" si="7"/>
        <v/>
      </c>
      <c r="R27" s="161" t="str">
        <f t="shared" ca="1" si="8"/>
        <v/>
      </c>
      <c r="S27" s="161" t="str">
        <f t="shared" ca="1" si="9"/>
        <v/>
      </c>
      <c r="T27" s="129" t="str">
        <f ca="1">IFERROR(S27*Electricidad!$J$8,"")</f>
        <v/>
      </c>
      <c r="U27" s="161" t="str">
        <f t="shared" ca="1" si="10"/>
        <v/>
      </c>
      <c r="V27" s="127" t="str">
        <f ca="1">IFERROR(U27*Electricidad!$J$8,"")</f>
        <v/>
      </c>
      <c r="X27" s="125" t="str">
        <f t="shared" ca="1" si="11"/>
        <v/>
      </c>
      <c r="Y27" s="161" t="str">
        <f ca="1">IFERROR(X27*0.3/VLOOKUP(H27,Listas!$M:$R,6,FALSE),"")</f>
        <v/>
      </c>
      <c r="Z27" s="161" t="str">
        <f t="shared" ca="1" si="12"/>
        <v/>
      </c>
      <c r="AA27" s="161" t="str">
        <f t="shared" ca="1" si="13"/>
        <v/>
      </c>
      <c r="AB27" s="161" t="str">
        <f t="shared" ca="1" si="14"/>
        <v/>
      </c>
      <c r="AC27" s="129" t="str">
        <f ca="1">IFERROR(AB27*Electricidad!$J$8,"")</f>
        <v/>
      </c>
      <c r="AD27" s="161" t="str">
        <f t="shared" ca="1" si="15"/>
        <v/>
      </c>
      <c r="AE27" s="127" t="str">
        <f ca="1">IFERROR(AD27*Electricidad!$J$8,"")</f>
        <v/>
      </c>
    </row>
    <row r="28" spans="2:31" s="35" customFormat="1" x14ac:dyDescent="0.25">
      <c r="B28" s="125"/>
      <c r="C28" s="125"/>
      <c r="D28" s="125" t="e">
        <f t="shared" ca="1" si="2"/>
        <v>#N/A</v>
      </c>
      <c r="E28" s="156" t="e">
        <f t="shared" ca="1" si="3"/>
        <v>#N/A</v>
      </c>
      <c r="F28" s="156" t="e">
        <f t="shared" ca="1" si="4"/>
        <v>#N/A</v>
      </c>
      <c r="G28" s="156" t="str">
        <f t="shared" ca="1" si="5"/>
        <v/>
      </c>
      <c r="H28" s="153"/>
      <c r="I28" s="155"/>
      <c r="J28" s="128" t="str">
        <f ca="1">IFERROR(VLOOKUP('Recambio luminarias'!G28,'Usos Electricidad'!$C$5:$E$200,3,FALSE),"")</f>
        <v/>
      </c>
      <c r="K28" s="156" t="str">
        <f ca="1">IFERROR(VLOOKUP('Recambio luminarias'!G28,'Usos Electricidad'!$C$5:$E$200,2,FALSE),"")</f>
        <v/>
      </c>
      <c r="L28" s="156" t="str">
        <f ca="1">IFERROR(VLOOKUP('Recambio luminarias'!G28,'Usos Electricidad'!$C$5:$AE$200,29,FALSE),"")</f>
        <v/>
      </c>
      <c r="M28" s="129" t="str">
        <f t="shared" ca="1" si="6"/>
        <v/>
      </c>
      <c r="N28" s="129" t="str">
        <f ca="1">IFERROR(M28*Electricidad!$J$8,"")</f>
        <v/>
      </c>
      <c r="P28" s="160" t="str">
        <f>IFERROR(VLOOKUP(H28,Listas!$M:$R,2,FALSE),"")</f>
        <v/>
      </c>
      <c r="Q28" s="161" t="str">
        <f t="shared" ca="1" si="7"/>
        <v/>
      </c>
      <c r="R28" s="161" t="str">
        <f t="shared" ca="1" si="8"/>
        <v/>
      </c>
      <c r="S28" s="161" t="str">
        <f t="shared" ca="1" si="9"/>
        <v/>
      </c>
      <c r="T28" s="129" t="str">
        <f ca="1">IFERROR(S28*Electricidad!$J$8,"")</f>
        <v/>
      </c>
      <c r="U28" s="161" t="str">
        <f t="shared" ca="1" si="10"/>
        <v/>
      </c>
      <c r="V28" s="127" t="str">
        <f ca="1">IFERROR(U28*Electricidad!$J$8,"")</f>
        <v/>
      </c>
      <c r="X28" s="125" t="str">
        <f t="shared" ca="1" si="11"/>
        <v/>
      </c>
      <c r="Y28" s="161" t="str">
        <f ca="1">IFERROR(X28*0.3/VLOOKUP(H28,Listas!$M:$R,6,FALSE),"")</f>
        <v/>
      </c>
      <c r="Z28" s="161" t="str">
        <f t="shared" ca="1" si="12"/>
        <v/>
      </c>
      <c r="AA28" s="161" t="str">
        <f t="shared" ca="1" si="13"/>
        <v/>
      </c>
      <c r="AB28" s="161" t="str">
        <f t="shared" ca="1" si="14"/>
        <v/>
      </c>
      <c r="AC28" s="129" t="str">
        <f ca="1">IFERROR(AB28*Electricidad!$J$8,"")</f>
        <v/>
      </c>
      <c r="AD28" s="161" t="str">
        <f t="shared" ca="1" si="15"/>
        <v/>
      </c>
      <c r="AE28" s="127" t="str">
        <f ca="1">IFERROR(AD28*Electricidad!$J$8,"")</f>
        <v/>
      </c>
    </row>
    <row r="29" spans="2:31" s="35" customFormat="1" x14ac:dyDescent="0.25">
      <c r="B29" s="125"/>
      <c r="C29" s="125"/>
      <c r="D29" s="125" t="e">
        <f t="shared" ca="1" si="2"/>
        <v>#N/A</v>
      </c>
      <c r="E29" s="156" t="e">
        <f t="shared" ca="1" si="3"/>
        <v>#N/A</v>
      </c>
      <c r="F29" s="156" t="e">
        <f t="shared" ca="1" si="4"/>
        <v>#N/A</v>
      </c>
      <c r="G29" s="156" t="str">
        <f t="shared" ca="1" si="5"/>
        <v/>
      </c>
      <c r="H29" s="153"/>
      <c r="I29" s="155"/>
      <c r="J29" s="128" t="str">
        <f ca="1">IFERROR(VLOOKUP('Recambio luminarias'!G29,'Usos Electricidad'!$C$5:$E$200,3,FALSE),"")</f>
        <v/>
      </c>
      <c r="K29" s="156" t="str">
        <f ca="1">IFERROR(VLOOKUP('Recambio luminarias'!G29,'Usos Electricidad'!$C$5:$E$200,2,FALSE),"")</f>
        <v/>
      </c>
      <c r="L29" s="156" t="str">
        <f ca="1">IFERROR(VLOOKUP('Recambio luminarias'!G29,'Usos Electricidad'!$C$5:$AE$200,29,FALSE),"")</f>
        <v/>
      </c>
      <c r="M29" s="129" t="str">
        <f t="shared" ca="1" si="6"/>
        <v/>
      </c>
      <c r="N29" s="129" t="str">
        <f ca="1">IFERROR(M29*Electricidad!$J$8,"")</f>
        <v/>
      </c>
      <c r="P29" s="160" t="str">
        <f>IFERROR(VLOOKUP(H29,Listas!$M:$R,2,FALSE),"")</f>
        <v/>
      </c>
      <c r="Q29" s="161" t="str">
        <f t="shared" ca="1" si="7"/>
        <v/>
      </c>
      <c r="R29" s="161" t="str">
        <f t="shared" ca="1" si="8"/>
        <v/>
      </c>
      <c r="S29" s="161" t="str">
        <f t="shared" ca="1" si="9"/>
        <v/>
      </c>
      <c r="T29" s="129" t="str">
        <f ca="1">IFERROR(S29*Electricidad!$J$8,"")</f>
        <v/>
      </c>
      <c r="U29" s="161" t="str">
        <f t="shared" ca="1" si="10"/>
        <v/>
      </c>
      <c r="V29" s="127" t="str">
        <f ca="1">IFERROR(U29*Electricidad!$J$8,"")</f>
        <v/>
      </c>
      <c r="X29" s="125" t="str">
        <f t="shared" ca="1" si="11"/>
        <v/>
      </c>
      <c r="Y29" s="161" t="str">
        <f ca="1">IFERROR(X29*0.3/VLOOKUP(H29,Listas!$M:$R,6,FALSE),"")</f>
        <v/>
      </c>
      <c r="Z29" s="161" t="str">
        <f t="shared" ca="1" si="12"/>
        <v/>
      </c>
      <c r="AA29" s="161" t="str">
        <f t="shared" ca="1" si="13"/>
        <v/>
      </c>
      <c r="AB29" s="161" t="str">
        <f t="shared" ca="1" si="14"/>
        <v/>
      </c>
      <c r="AC29" s="129" t="str">
        <f ca="1">IFERROR(AB29*Electricidad!$J$8,"")</f>
        <v/>
      </c>
      <c r="AD29" s="161" t="str">
        <f t="shared" ca="1" si="15"/>
        <v/>
      </c>
      <c r="AE29" s="127" t="str">
        <f ca="1">IFERROR(AD29*Electricidad!$J$8,"")</f>
        <v/>
      </c>
    </row>
    <row r="30" spans="2:31" s="35" customFormat="1" x14ac:dyDescent="0.25">
      <c r="B30" s="125"/>
      <c r="C30" s="125"/>
      <c r="D30" s="125" t="e">
        <f t="shared" ca="1" si="2"/>
        <v>#N/A</v>
      </c>
      <c r="E30" s="156" t="e">
        <f t="shared" ca="1" si="3"/>
        <v>#N/A</v>
      </c>
      <c r="F30" s="156" t="e">
        <f t="shared" ca="1" si="4"/>
        <v>#N/A</v>
      </c>
      <c r="G30" s="156" t="str">
        <f t="shared" ca="1" si="5"/>
        <v/>
      </c>
      <c r="H30" s="153"/>
      <c r="I30" s="155"/>
      <c r="J30" s="128" t="str">
        <f ca="1">IFERROR(VLOOKUP('Recambio luminarias'!G30,'Usos Electricidad'!$C$5:$E$200,3,FALSE),"")</f>
        <v/>
      </c>
      <c r="K30" s="156" t="str">
        <f ca="1">IFERROR(VLOOKUP('Recambio luminarias'!G30,'Usos Electricidad'!$C$5:$E$200,2,FALSE),"")</f>
        <v/>
      </c>
      <c r="L30" s="156" t="str">
        <f ca="1">IFERROR(VLOOKUP('Recambio luminarias'!G30,'Usos Electricidad'!$C$5:$AE$200,29,FALSE),"")</f>
        <v/>
      </c>
      <c r="M30" s="129" t="str">
        <f t="shared" ca="1" si="6"/>
        <v/>
      </c>
      <c r="N30" s="129" t="str">
        <f ca="1">IFERROR(M30*Electricidad!$J$8,"")</f>
        <v/>
      </c>
      <c r="P30" s="160" t="str">
        <f>IFERROR(VLOOKUP(H30,Listas!$M:$R,2,FALSE),"")</f>
        <v/>
      </c>
      <c r="Q30" s="161" t="str">
        <f t="shared" ca="1" si="7"/>
        <v/>
      </c>
      <c r="R30" s="161" t="str">
        <f t="shared" ca="1" si="8"/>
        <v/>
      </c>
      <c r="S30" s="161" t="str">
        <f t="shared" ca="1" si="9"/>
        <v/>
      </c>
      <c r="T30" s="129" t="str">
        <f ca="1">IFERROR(S30*Electricidad!$J$8,"")</f>
        <v/>
      </c>
      <c r="U30" s="161" t="str">
        <f t="shared" ca="1" si="10"/>
        <v/>
      </c>
      <c r="V30" s="127" t="str">
        <f ca="1">IFERROR(U30*Electricidad!$J$8,"")</f>
        <v/>
      </c>
      <c r="X30" s="125" t="str">
        <f t="shared" ca="1" si="11"/>
        <v/>
      </c>
      <c r="Y30" s="161" t="str">
        <f ca="1">IFERROR(X30*0.3/VLOOKUP(H30,Listas!$M:$R,6,FALSE),"")</f>
        <v/>
      </c>
      <c r="Z30" s="161" t="str">
        <f t="shared" ca="1" si="12"/>
        <v/>
      </c>
      <c r="AA30" s="161" t="str">
        <f t="shared" ca="1" si="13"/>
        <v/>
      </c>
      <c r="AB30" s="161" t="str">
        <f t="shared" ca="1" si="14"/>
        <v/>
      </c>
      <c r="AC30" s="129" t="str">
        <f ca="1">IFERROR(AB30*Electricidad!$J$8,"")</f>
        <v/>
      </c>
      <c r="AD30" s="161" t="str">
        <f t="shared" ca="1" si="15"/>
        <v/>
      </c>
      <c r="AE30" s="127" t="str">
        <f ca="1">IFERROR(AD30*Electricidad!$J$8,"")</f>
        <v/>
      </c>
    </row>
    <row r="31" spans="2:31" s="35" customFormat="1" x14ac:dyDescent="0.25">
      <c r="B31" s="125"/>
      <c r="C31" s="125"/>
      <c r="D31" s="125" t="e">
        <f t="shared" ca="1" si="2"/>
        <v>#N/A</v>
      </c>
      <c r="E31" s="156" t="e">
        <f t="shared" ca="1" si="3"/>
        <v>#N/A</v>
      </c>
      <c r="F31" s="156" t="e">
        <f t="shared" ca="1" si="4"/>
        <v>#N/A</v>
      </c>
      <c r="G31" s="156" t="str">
        <f t="shared" ca="1" si="5"/>
        <v/>
      </c>
      <c r="H31" s="153"/>
      <c r="I31" s="155"/>
      <c r="J31" s="128" t="str">
        <f ca="1">IFERROR(VLOOKUP('Recambio luminarias'!G31,'Usos Electricidad'!$C$5:$E$200,3,FALSE),"")</f>
        <v/>
      </c>
      <c r="K31" s="156" t="str">
        <f ca="1">IFERROR(VLOOKUP('Recambio luminarias'!G31,'Usos Electricidad'!$C$5:$E$200,2,FALSE),"")</f>
        <v/>
      </c>
      <c r="L31" s="156" t="str">
        <f ca="1">IFERROR(VLOOKUP('Recambio luminarias'!G31,'Usos Electricidad'!$C$5:$AE$200,29,FALSE),"")</f>
        <v/>
      </c>
      <c r="M31" s="129" t="str">
        <f t="shared" ca="1" si="6"/>
        <v/>
      </c>
      <c r="N31" s="129" t="str">
        <f ca="1">IFERROR(M31*Electricidad!$J$8,"")</f>
        <v/>
      </c>
      <c r="P31" s="160" t="str">
        <f>IFERROR(VLOOKUP(H31,Listas!$M:$R,2,FALSE),"")</f>
        <v/>
      </c>
      <c r="Q31" s="161" t="str">
        <f t="shared" ca="1" si="7"/>
        <v/>
      </c>
      <c r="R31" s="161" t="str">
        <f t="shared" ca="1" si="8"/>
        <v/>
      </c>
      <c r="S31" s="161" t="str">
        <f t="shared" ca="1" si="9"/>
        <v/>
      </c>
      <c r="T31" s="129" t="str">
        <f ca="1">IFERROR(S31*Electricidad!$J$8,"")</f>
        <v/>
      </c>
      <c r="U31" s="161" t="str">
        <f t="shared" ca="1" si="10"/>
        <v/>
      </c>
      <c r="V31" s="127" t="str">
        <f ca="1">IFERROR(U31*Electricidad!$J$8,"")</f>
        <v/>
      </c>
      <c r="X31" s="125" t="str">
        <f t="shared" ca="1" si="11"/>
        <v/>
      </c>
      <c r="Y31" s="161" t="str">
        <f ca="1">IFERROR(X31*0.3/VLOOKUP(H31,Listas!$M:$R,6,FALSE),"")</f>
        <v/>
      </c>
      <c r="Z31" s="161" t="str">
        <f t="shared" ca="1" si="12"/>
        <v/>
      </c>
      <c r="AA31" s="161" t="str">
        <f t="shared" ca="1" si="13"/>
        <v/>
      </c>
      <c r="AB31" s="161" t="str">
        <f t="shared" ca="1" si="14"/>
        <v/>
      </c>
      <c r="AC31" s="129" t="str">
        <f ca="1">IFERROR(AB31*Electricidad!$J$8,"")</f>
        <v/>
      </c>
      <c r="AD31" s="161" t="str">
        <f t="shared" ca="1" si="15"/>
        <v/>
      </c>
      <c r="AE31" s="127" t="str">
        <f ca="1">IFERROR(AD31*Electricidad!$J$8,"")</f>
        <v/>
      </c>
    </row>
    <row r="32" spans="2:31" s="35" customFormat="1" x14ac:dyDescent="0.25">
      <c r="B32" s="125"/>
      <c r="C32" s="125"/>
      <c r="D32" s="125" t="e">
        <f t="shared" ca="1" si="2"/>
        <v>#N/A</v>
      </c>
      <c r="E32" s="156" t="e">
        <f t="shared" ca="1" si="3"/>
        <v>#N/A</v>
      </c>
      <c r="F32" s="156" t="e">
        <f t="shared" ca="1" si="4"/>
        <v>#N/A</v>
      </c>
      <c r="G32" s="156" t="str">
        <f t="shared" ca="1" si="5"/>
        <v/>
      </c>
      <c r="H32" s="153"/>
      <c r="I32" s="155"/>
      <c r="J32" s="128" t="str">
        <f ca="1">IFERROR(VLOOKUP('Recambio luminarias'!G32,'Usos Electricidad'!$C$5:$E$200,3,FALSE),"")</f>
        <v/>
      </c>
      <c r="K32" s="156" t="str">
        <f ca="1">IFERROR(VLOOKUP('Recambio luminarias'!G32,'Usos Electricidad'!$C$5:$E$200,2,FALSE),"")</f>
        <v/>
      </c>
      <c r="L32" s="156" t="str">
        <f ca="1">IFERROR(VLOOKUP('Recambio luminarias'!G32,'Usos Electricidad'!$C$5:$AE$200,29,FALSE),"")</f>
        <v/>
      </c>
      <c r="M32" s="129" t="str">
        <f t="shared" ca="1" si="6"/>
        <v/>
      </c>
      <c r="N32" s="129" t="str">
        <f ca="1">IFERROR(M32*Electricidad!$J$8,"")</f>
        <v/>
      </c>
      <c r="P32" s="160" t="str">
        <f>IFERROR(VLOOKUP(H32,Listas!$M:$R,2,FALSE),"")</f>
        <v/>
      </c>
      <c r="Q32" s="161" t="str">
        <f t="shared" ca="1" si="7"/>
        <v/>
      </c>
      <c r="R32" s="161" t="str">
        <f t="shared" ca="1" si="8"/>
        <v/>
      </c>
      <c r="S32" s="161" t="str">
        <f t="shared" ca="1" si="9"/>
        <v/>
      </c>
      <c r="T32" s="129" t="str">
        <f ca="1">IFERROR(S32*Electricidad!$J$8,"")</f>
        <v/>
      </c>
      <c r="U32" s="161" t="str">
        <f t="shared" ca="1" si="10"/>
        <v/>
      </c>
      <c r="V32" s="127" t="str">
        <f ca="1">IFERROR(U32*Electricidad!$J$8,"")</f>
        <v/>
      </c>
      <c r="X32" s="125" t="str">
        <f t="shared" ca="1" si="11"/>
        <v/>
      </c>
      <c r="Y32" s="161" t="str">
        <f ca="1">IFERROR(X32*0.3/VLOOKUP(H32,Listas!$M:$R,6,FALSE),"")</f>
        <v/>
      </c>
      <c r="Z32" s="161" t="str">
        <f t="shared" ca="1" si="12"/>
        <v/>
      </c>
      <c r="AA32" s="161" t="str">
        <f t="shared" ca="1" si="13"/>
        <v/>
      </c>
      <c r="AB32" s="161" t="str">
        <f t="shared" ca="1" si="14"/>
        <v/>
      </c>
      <c r="AC32" s="129" t="str">
        <f ca="1">IFERROR(AB32*Electricidad!$J$8,"")</f>
        <v/>
      </c>
      <c r="AD32" s="161" t="str">
        <f t="shared" ca="1" si="15"/>
        <v/>
      </c>
      <c r="AE32" s="127" t="str">
        <f ca="1">IFERROR(AD32*Electricidad!$J$8,"")</f>
        <v/>
      </c>
    </row>
    <row r="33" spans="2:31" s="35" customFormat="1" x14ac:dyDescent="0.25">
      <c r="B33" s="125"/>
      <c r="C33" s="125"/>
      <c r="D33" s="125" t="e">
        <f t="shared" ca="1" si="2"/>
        <v>#N/A</v>
      </c>
      <c r="E33" s="156" t="e">
        <f t="shared" ca="1" si="3"/>
        <v>#N/A</v>
      </c>
      <c r="F33" s="156" t="e">
        <f t="shared" ca="1" si="4"/>
        <v>#N/A</v>
      </c>
      <c r="G33" s="156" t="str">
        <f t="shared" ca="1" si="5"/>
        <v/>
      </c>
      <c r="H33" s="153"/>
      <c r="I33" s="155"/>
      <c r="J33" s="128" t="str">
        <f ca="1">IFERROR(VLOOKUP('Recambio luminarias'!G33,'Usos Electricidad'!$C$5:$E$200,3,FALSE),"")</f>
        <v/>
      </c>
      <c r="K33" s="156" t="str">
        <f ca="1">IFERROR(VLOOKUP('Recambio luminarias'!G33,'Usos Electricidad'!$C$5:$E$200,2,FALSE),"")</f>
        <v/>
      </c>
      <c r="L33" s="156" t="str">
        <f ca="1">IFERROR(VLOOKUP('Recambio luminarias'!G33,'Usos Electricidad'!$C$5:$AE$200,29,FALSE),"")</f>
        <v/>
      </c>
      <c r="M33" s="129" t="str">
        <f t="shared" ca="1" si="6"/>
        <v/>
      </c>
      <c r="N33" s="129" t="str">
        <f ca="1">IFERROR(M33*Electricidad!$J$8,"")</f>
        <v/>
      </c>
      <c r="P33" s="160" t="str">
        <f>IFERROR(VLOOKUP(H33,Listas!$M:$R,2,FALSE),"")</f>
        <v/>
      </c>
      <c r="Q33" s="161" t="str">
        <f t="shared" ca="1" si="7"/>
        <v/>
      </c>
      <c r="R33" s="161" t="str">
        <f t="shared" ca="1" si="8"/>
        <v/>
      </c>
      <c r="S33" s="161" t="str">
        <f t="shared" ca="1" si="9"/>
        <v/>
      </c>
      <c r="T33" s="129" t="str">
        <f ca="1">IFERROR(S33*Electricidad!$J$8,"")</f>
        <v/>
      </c>
      <c r="U33" s="161" t="str">
        <f t="shared" ca="1" si="10"/>
        <v/>
      </c>
      <c r="V33" s="127" t="str">
        <f ca="1">IFERROR(U33*Electricidad!$J$8,"")</f>
        <v/>
      </c>
      <c r="X33" s="125" t="str">
        <f t="shared" ca="1" si="11"/>
        <v/>
      </c>
      <c r="Y33" s="161" t="str">
        <f ca="1">IFERROR(X33*0.3/VLOOKUP(H33,Listas!$M:$R,6,FALSE),"")</f>
        <v/>
      </c>
      <c r="Z33" s="161" t="str">
        <f t="shared" ca="1" si="12"/>
        <v/>
      </c>
      <c r="AA33" s="161" t="str">
        <f t="shared" ca="1" si="13"/>
        <v/>
      </c>
      <c r="AB33" s="161" t="str">
        <f t="shared" ca="1" si="14"/>
        <v/>
      </c>
      <c r="AC33" s="129" t="str">
        <f ca="1">IFERROR(AB33*Electricidad!$J$8,"")</f>
        <v/>
      </c>
      <c r="AD33" s="161" t="str">
        <f t="shared" ca="1" si="15"/>
        <v/>
      </c>
      <c r="AE33" s="127" t="str">
        <f ca="1">IFERROR(AD33*Electricidad!$J$8,"")</f>
        <v/>
      </c>
    </row>
    <row r="34" spans="2:31" s="35" customFormat="1" x14ac:dyDescent="0.25">
      <c r="B34" s="125"/>
      <c r="C34" s="125"/>
      <c r="D34" s="125" t="e">
        <f t="shared" ca="1" si="2"/>
        <v>#N/A</v>
      </c>
      <c r="E34" s="156" t="e">
        <f t="shared" ca="1" si="3"/>
        <v>#N/A</v>
      </c>
      <c r="F34" s="156" t="e">
        <f t="shared" ca="1" si="4"/>
        <v>#N/A</v>
      </c>
      <c r="G34" s="156" t="str">
        <f t="shared" ca="1" si="5"/>
        <v/>
      </c>
      <c r="H34" s="153"/>
      <c r="I34" s="155"/>
      <c r="J34" s="128" t="str">
        <f ca="1">IFERROR(VLOOKUP('Recambio luminarias'!G34,'Usos Electricidad'!$C$5:$E$200,3,FALSE),"")</f>
        <v/>
      </c>
      <c r="K34" s="156" t="str">
        <f ca="1">IFERROR(VLOOKUP('Recambio luminarias'!G34,'Usos Electricidad'!$C$5:$E$200,2,FALSE),"")</f>
        <v/>
      </c>
      <c r="L34" s="156" t="str">
        <f ca="1">IFERROR(VLOOKUP('Recambio luminarias'!G34,'Usos Electricidad'!$C$5:$AE$200,29,FALSE),"")</f>
        <v/>
      </c>
      <c r="M34" s="129" t="str">
        <f t="shared" ca="1" si="6"/>
        <v/>
      </c>
      <c r="N34" s="129" t="str">
        <f ca="1">IFERROR(M34*Electricidad!$J$8,"")</f>
        <v/>
      </c>
      <c r="P34" s="160" t="str">
        <f>IFERROR(VLOOKUP(H34,Listas!$M:$R,2,FALSE),"")</f>
        <v/>
      </c>
      <c r="Q34" s="161" t="str">
        <f t="shared" ca="1" si="7"/>
        <v/>
      </c>
      <c r="R34" s="161" t="str">
        <f t="shared" ca="1" si="8"/>
        <v/>
      </c>
      <c r="S34" s="161" t="str">
        <f t="shared" ca="1" si="9"/>
        <v/>
      </c>
      <c r="T34" s="129" t="str">
        <f ca="1">IFERROR(S34*Electricidad!$J$8,"")</f>
        <v/>
      </c>
      <c r="U34" s="161" t="str">
        <f t="shared" ca="1" si="10"/>
        <v/>
      </c>
      <c r="V34" s="127" t="str">
        <f ca="1">IFERROR(U34*Electricidad!$J$8,"")</f>
        <v/>
      </c>
      <c r="X34" s="125" t="str">
        <f t="shared" ca="1" si="11"/>
        <v/>
      </c>
      <c r="Y34" s="161" t="str">
        <f ca="1">IFERROR(X34*0.3/VLOOKUP(H34,Listas!$M:$R,6,FALSE),"")</f>
        <v/>
      </c>
      <c r="Z34" s="161" t="str">
        <f t="shared" ca="1" si="12"/>
        <v/>
      </c>
      <c r="AA34" s="161" t="str">
        <f t="shared" ca="1" si="13"/>
        <v/>
      </c>
      <c r="AB34" s="161" t="str">
        <f t="shared" ca="1" si="14"/>
        <v/>
      </c>
      <c r="AC34" s="129" t="str">
        <f ca="1">IFERROR(AB34*Electricidad!$J$8,"")</f>
        <v/>
      </c>
      <c r="AD34" s="161" t="str">
        <f t="shared" ca="1" si="15"/>
        <v/>
      </c>
      <c r="AE34" s="127" t="str">
        <f ca="1">IFERROR(AD34*Electricidad!$J$8,"")</f>
        <v/>
      </c>
    </row>
    <row r="35" spans="2:31" s="35" customFormat="1" x14ac:dyDescent="0.25">
      <c r="B35" s="125"/>
      <c r="C35" s="125"/>
      <c r="D35" s="125" t="e">
        <f t="shared" ca="1" si="2"/>
        <v>#N/A</v>
      </c>
      <c r="E35" s="156" t="e">
        <f t="shared" ca="1" si="3"/>
        <v>#N/A</v>
      </c>
      <c r="F35" s="156" t="e">
        <f t="shared" ca="1" si="4"/>
        <v>#N/A</v>
      </c>
      <c r="G35" s="156" t="str">
        <f t="shared" ca="1" si="5"/>
        <v/>
      </c>
      <c r="H35" s="153"/>
      <c r="I35" s="155"/>
      <c r="J35" s="128" t="str">
        <f ca="1">IFERROR(VLOOKUP('Recambio luminarias'!G35,'Usos Electricidad'!$C$5:$E$200,3,FALSE),"")</f>
        <v/>
      </c>
      <c r="K35" s="156" t="str">
        <f ca="1">IFERROR(VLOOKUP('Recambio luminarias'!G35,'Usos Electricidad'!$C$5:$E$200,2,FALSE),"")</f>
        <v/>
      </c>
      <c r="L35" s="156" t="str">
        <f ca="1">IFERROR(VLOOKUP('Recambio luminarias'!G35,'Usos Electricidad'!$C$5:$AE$200,29,FALSE),"")</f>
        <v/>
      </c>
      <c r="M35" s="129" t="str">
        <f t="shared" ca="1" si="6"/>
        <v/>
      </c>
      <c r="N35" s="129" t="str">
        <f ca="1">IFERROR(M35*Electricidad!$J$8,"")</f>
        <v/>
      </c>
      <c r="P35" s="160" t="str">
        <f>IFERROR(VLOOKUP(H35,Listas!$M:$R,2,FALSE),"")</f>
        <v/>
      </c>
      <c r="Q35" s="161" t="str">
        <f t="shared" ca="1" si="7"/>
        <v/>
      </c>
      <c r="R35" s="161" t="str">
        <f t="shared" ca="1" si="8"/>
        <v/>
      </c>
      <c r="S35" s="161" t="str">
        <f t="shared" ca="1" si="9"/>
        <v/>
      </c>
      <c r="T35" s="129" t="str">
        <f ca="1">IFERROR(S35*Electricidad!$J$8,"")</f>
        <v/>
      </c>
      <c r="U35" s="161" t="str">
        <f t="shared" ca="1" si="10"/>
        <v/>
      </c>
      <c r="V35" s="127" t="str">
        <f ca="1">IFERROR(U35*Electricidad!$J$8,"")</f>
        <v/>
      </c>
      <c r="X35" s="125" t="str">
        <f t="shared" ca="1" si="11"/>
        <v/>
      </c>
      <c r="Y35" s="161" t="str">
        <f ca="1">IFERROR(X35*0.3/VLOOKUP(H35,Listas!$M:$R,6,FALSE),"")</f>
        <v/>
      </c>
      <c r="Z35" s="161" t="str">
        <f t="shared" ca="1" si="12"/>
        <v/>
      </c>
      <c r="AA35" s="161" t="str">
        <f t="shared" ca="1" si="13"/>
        <v/>
      </c>
      <c r="AB35" s="161" t="str">
        <f t="shared" ca="1" si="14"/>
        <v/>
      </c>
      <c r="AC35" s="129" t="str">
        <f ca="1">IFERROR(AB35*Electricidad!$J$8,"")</f>
        <v/>
      </c>
      <c r="AD35" s="161" t="str">
        <f t="shared" ca="1" si="15"/>
        <v/>
      </c>
      <c r="AE35" s="127" t="str">
        <f ca="1">IFERROR(AD35*Electricidad!$J$8,"")</f>
        <v/>
      </c>
    </row>
    <row r="36" spans="2:31" x14ac:dyDescent="0.25">
      <c r="E36" s="35"/>
      <c r="G36"/>
      <c r="J36" s="157">
        <f ca="1">SUM(J6:J35)</f>
        <v>1.8599999999999999</v>
      </c>
      <c r="K36" s="159">
        <f ca="1">SUM(K6:K35)</f>
        <v>1274</v>
      </c>
      <c r="M36" s="157">
        <f ca="1">SUM(M6:M35)</f>
        <v>2089673.2321428573</v>
      </c>
      <c r="N36" s="162">
        <f ca="1">+SUM(N6:N35)</f>
        <v>179140879.51426709</v>
      </c>
      <c r="R36" s="158">
        <f ca="1">+SUM(R6:R35)</f>
        <v>285.54166666666669</v>
      </c>
      <c r="S36" s="158">
        <f ca="1">+SUM(S6:S35)</f>
        <v>1599383.2886904762</v>
      </c>
      <c r="T36" s="158">
        <f ca="1">+SUM(T6:T35)</f>
        <v>137109919.67994243</v>
      </c>
      <c r="U36" s="158">
        <f ca="1">+SUM(U6:U35)</f>
        <v>490289.94345238089</v>
      </c>
      <c r="V36" s="162">
        <f ca="1">+SUM(V6:V35)</f>
        <v>42030959.834324643</v>
      </c>
      <c r="AA36" s="158">
        <f ca="1">+SUM(AA6:AA35)</f>
        <v>181.95649166666669</v>
      </c>
      <c r="AB36" s="158">
        <f ca="1">+SUM(AB6:AB35)</f>
        <v>997009.92455654766</v>
      </c>
      <c r="AC36" s="158">
        <f ca="1">+SUM(AC6:AC35)</f>
        <v>85470413.279095367</v>
      </c>
      <c r="AD36" s="158">
        <f ca="1">+SUM(AD6:AD35)</f>
        <v>1092663.3075863095</v>
      </c>
      <c r="AE36" s="162">
        <f ca="1">+SUM(AE6:AE35)</f>
        <v>93670466.235171705</v>
      </c>
    </row>
    <row r="37" spans="2:31" x14ac:dyDescent="0.25">
      <c r="G37"/>
      <c r="J37"/>
      <c r="V37" s="164">
        <f ca="1">V36/N36</f>
        <v>0.2346251729269713</v>
      </c>
      <c r="AE37" s="164">
        <f ca="1">AE36/N36</f>
        <v>0.52288716282489633</v>
      </c>
    </row>
    <row r="38" spans="2:31" x14ac:dyDescent="0.25">
      <c r="G38"/>
      <c r="J38"/>
    </row>
    <row r="39" spans="2:31" x14ac:dyDescent="0.25">
      <c r="G39"/>
      <c r="J39"/>
    </row>
    <row r="40" spans="2:31" x14ac:dyDescent="0.25">
      <c r="G40"/>
      <c r="J40"/>
    </row>
    <row r="41" spans="2:31" x14ac:dyDescent="0.25">
      <c r="G41"/>
      <c r="J41"/>
    </row>
    <row r="42" spans="2:31" x14ac:dyDescent="0.25">
      <c r="G42"/>
      <c r="J42"/>
    </row>
    <row r="43" spans="2:31" x14ac:dyDescent="0.25">
      <c r="G43"/>
      <c r="J43"/>
    </row>
    <row r="44" spans="2:31" x14ac:dyDescent="0.25">
      <c r="G44"/>
      <c r="J44"/>
    </row>
    <row r="45" spans="2:31" x14ac:dyDescent="0.25">
      <c r="G45"/>
      <c r="J45"/>
    </row>
    <row r="46" spans="2:31" x14ac:dyDescent="0.25">
      <c r="G46"/>
      <c r="J46"/>
    </row>
    <row r="47" spans="2:31" x14ac:dyDescent="0.25">
      <c r="G47"/>
      <c r="J47"/>
    </row>
    <row r="48" spans="2:31" x14ac:dyDescent="0.25">
      <c r="G48"/>
      <c r="J48"/>
    </row>
    <row r="49" spans="7:10" x14ac:dyDescent="0.25">
      <c r="G49"/>
      <c r="J49"/>
    </row>
    <row r="50" spans="7:10" x14ac:dyDescent="0.25">
      <c r="G50"/>
      <c r="J50"/>
    </row>
    <row r="51" spans="7:10" x14ac:dyDescent="0.25">
      <c r="G51"/>
      <c r="J51"/>
    </row>
    <row r="52" spans="7:10" x14ac:dyDescent="0.25">
      <c r="G52"/>
      <c r="J52"/>
    </row>
    <row r="53" spans="7:10" x14ac:dyDescent="0.25">
      <c r="G53"/>
      <c r="J53"/>
    </row>
    <row r="54" spans="7:10" x14ac:dyDescent="0.25">
      <c r="G54"/>
      <c r="J54"/>
    </row>
    <row r="55" spans="7:10" x14ac:dyDescent="0.25">
      <c r="G55"/>
      <c r="J55"/>
    </row>
    <row r="56" spans="7:10" x14ac:dyDescent="0.25">
      <c r="G56"/>
      <c r="J56"/>
    </row>
    <row r="57" spans="7:10" x14ac:dyDescent="0.25">
      <c r="G57"/>
      <c r="J57"/>
    </row>
    <row r="58" spans="7:10" x14ac:dyDescent="0.25">
      <c r="G58"/>
      <c r="J58"/>
    </row>
    <row r="59" spans="7:10" x14ac:dyDescent="0.25">
      <c r="G59"/>
      <c r="J59"/>
    </row>
    <row r="60" spans="7:10" x14ac:dyDescent="0.25">
      <c r="G60"/>
      <c r="J60"/>
    </row>
    <row r="61" spans="7:10" x14ac:dyDescent="0.25">
      <c r="G61"/>
      <c r="J61"/>
    </row>
    <row r="62" spans="7:10" x14ac:dyDescent="0.25">
      <c r="G62"/>
      <c r="J62"/>
    </row>
    <row r="63" spans="7:10" x14ac:dyDescent="0.25">
      <c r="G63"/>
      <c r="J63"/>
    </row>
    <row r="64" spans="7:10" x14ac:dyDescent="0.25">
      <c r="G64"/>
      <c r="J64"/>
    </row>
    <row r="65" spans="7:10" x14ac:dyDescent="0.25">
      <c r="G65"/>
      <c r="J65"/>
    </row>
    <row r="66" spans="7:10" x14ac:dyDescent="0.25">
      <c r="G66"/>
      <c r="J66"/>
    </row>
    <row r="67" spans="7:10" x14ac:dyDescent="0.25">
      <c r="G67"/>
      <c r="J67"/>
    </row>
    <row r="68" spans="7:10" x14ac:dyDescent="0.25">
      <c r="G68"/>
      <c r="J68"/>
    </row>
    <row r="69" spans="7:10" x14ac:dyDescent="0.25">
      <c r="G69"/>
      <c r="J69"/>
    </row>
    <row r="70" spans="7:10" x14ac:dyDescent="0.25">
      <c r="G70"/>
      <c r="J70"/>
    </row>
    <row r="71" spans="7:10" x14ac:dyDescent="0.25">
      <c r="G71"/>
      <c r="J71"/>
    </row>
    <row r="72" spans="7:10" x14ac:dyDescent="0.25">
      <c r="G72"/>
      <c r="J72"/>
    </row>
    <row r="73" spans="7:10" x14ac:dyDescent="0.25">
      <c r="G73"/>
      <c r="J73"/>
    </row>
    <row r="74" spans="7:10" x14ac:dyDescent="0.25">
      <c r="G74"/>
      <c r="J74"/>
    </row>
    <row r="75" spans="7:10" x14ac:dyDescent="0.25">
      <c r="G75"/>
      <c r="J75"/>
    </row>
    <row r="76" spans="7:10" x14ac:dyDescent="0.25">
      <c r="G76"/>
      <c r="J76"/>
    </row>
    <row r="77" spans="7:10" x14ac:dyDescent="0.25">
      <c r="G77"/>
      <c r="J77"/>
    </row>
    <row r="78" spans="7:10" x14ac:dyDescent="0.25">
      <c r="G78"/>
      <c r="J78"/>
    </row>
    <row r="79" spans="7:10" x14ac:dyDescent="0.25">
      <c r="G79"/>
      <c r="J79"/>
    </row>
    <row r="80" spans="7:10" x14ac:dyDescent="0.25">
      <c r="G80"/>
      <c r="J80"/>
    </row>
    <row r="81" spans="7:10" x14ac:dyDescent="0.25">
      <c r="G81"/>
      <c r="J81"/>
    </row>
    <row r="82" spans="7:10" x14ac:dyDescent="0.25">
      <c r="G82"/>
      <c r="J82"/>
    </row>
    <row r="83" spans="7:10" x14ac:dyDescent="0.25">
      <c r="G83"/>
      <c r="J83"/>
    </row>
    <row r="84" spans="7:10" x14ac:dyDescent="0.25">
      <c r="G84"/>
      <c r="J84"/>
    </row>
    <row r="85" spans="7:10" x14ac:dyDescent="0.25">
      <c r="G85"/>
      <c r="J85"/>
    </row>
    <row r="86" spans="7:10" x14ac:dyDescent="0.25">
      <c r="G86"/>
      <c r="J86"/>
    </row>
    <row r="87" spans="7:10" x14ac:dyDescent="0.25">
      <c r="G87"/>
      <c r="J87"/>
    </row>
    <row r="88" spans="7:10" x14ac:dyDescent="0.25">
      <c r="G88"/>
      <c r="J88"/>
    </row>
    <row r="89" spans="7:10" x14ac:dyDescent="0.25">
      <c r="G89"/>
      <c r="J89"/>
    </row>
    <row r="90" spans="7:10" x14ac:dyDescent="0.25">
      <c r="G90"/>
      <c r="J90"/>
    </row>
    <row r="91" spans="7:10" x14ac:dyDescent="0.25">
      <c r="G91"/>
      <c r="J91"/>
    </row>
    <row r="92" spans="7:10" x14ac:dyDescent="0.25">
      <c r="G92"/>
      <c r="J92"/>
    </row>
    <row r="93" spans="7:10" x14ac:dyDescent="0.25">
      <c r="G93"/>
      <c r="J93"/>
    </row>
    <row r="94" spans="7:10" x14ac:dyDescent="0.25">
      <c r="G94"/>
      <c r="J94"/>
    </row>
    <row r="95" spans="7:10" x14ac:dyDescent="0.25">
      <c r="G95"/>
      <c r="J95"/>
    </row>
    <row r="96" spans="7:10" x14ac:dyDescent="0.25">
      <c r="G96"/>
      <c r="J96"/>
    </row>
    <row r="97" spans="7:10" x14ac:dyDescent="0.25">
      <c r="G97"/>
      <c r="J97"/>
    </row>
    <row r="98" spans="7:10" x14ac:dyDescent="0.25">
      <c r="G98"/>
      <c r="J98"/>
    </row>
    <row r="99" spans="7:10" x14ac:dyDescent="0.25">
      <c r="G99"/>
      <c r="J99"/>
    </row>
    <row r="100" spans="7:10" x14ac:dyDescent="0.25">
      <c r="G100"/>
      <c r="J100"/>
    </row>
    <row r="101" spans="7:10" x14ac:dyDescent="0.25">
      <c r="G101"/>
      <c r="J101"/>
    </row>
    <row r="102" spans="7:10" x14ac:dyDescent="0.25">
      <c r="G102"/>
      <c r="J102"/>
    </row>
    <row r="103" spans="7:10" x14ac:dyDescent="0.25">
      <c r="G103"/>
      <c r="J103"/>
    </row>
    <row r="104" spans="7:10" x14ac:dyDescent="0.25">
      <c r="G104"/>
      <c r="J104"/>
    </row>
    <row r="105" spans="7:10" x14ac:dyDescent="0.25">
      <c r="G105"/>
      <c r="J105"/>
    </row>
    <row r="106" spans="7:10" x14ac:dyDescent="0.25">
      <c r="G106"/>
      <c r="J106"/>
    </row>
    <row r="107" spans="7:10" x14ac:dyDescent="0.25">
      <c r="G107"/>
      <c r="J107"/>
    </row>
    <row r="108" spans="7:10" x14ac:dyDescent="0.25">
      <c r="G108"/>
      <c r="J108"/>
    </row>
    <row r="109" spans="7:10" x14ac:dyDescent="0.25">
      <c r="G109"/>
      <c r="J109"/>
    </row>
    <row r="110" spans="7:10" x14ac:dyDescent="0.25">
      <c r="G110"/>
      <c r="J110"/>
    </row>
    <row r="111" spans="7:10" x14ac:dyDescent="0.25">
      <c r="G111"/>
      <c r="J111"/>
    </row>
    <row r="112" spans="7:10" x14ac:dyDescent="0.25">
      <c r="G112"/>
      <c r="J112"/>
    </row>
    <row r="113" spans="7:10" x14ac:dyDescent="0.25">
      <c r="G113"/>
      <c r="J113"/>
    </row>
    <row r="114" spans="7:10" x14ac:dyDescent="0.25">
      <c r="G114"/>
      <c r="J114"/>
    </row>
    <row r="115" spans="7:10" x14ac:dyDescent="0.25">
      <c r="G115"/>
      <c r="J115"/>
    </row>
    <row r="116" spans="7:10" x14ac:dyDescent="0.25">
      <c r="G116"/>
      <c r="J116"/>
    </row>
    <row r="117" spans="7:10" x14ac:dyDescent="0.25">
      <c r="G117"/>
      <c r="J117"/>
    </row>
    <row r="118" spans="7:10" x14ac:dyDescent="0.25">
      <c r="G118"/>
      <c r="J118"/>
    </row>
    <row r="119" spans="7:10" x14ac:dyDescent="0.25">
      <c r="G119"/>
      <c r="J119"/>
    </row>
    <row r="120" spans="7:10" x14ac:dyDescent="0.25">
      <c r="G120"/>
      <c r="J120"/>
    </row>
    <row r="121" spans="7:10" x14ac:dyDescent="0.25">
      <c r="G121"/>
      <c r="J121"/>
    </row>
    <row r="122" spans="7:10" x14ac:dyDescent="0.25">
      <c r="G122"/>
      <c r="J122"/>
    </row>
    <row r="123" spans="7:10" x14ac:dyDescent="0.25">
      <c r="G123"/>
      <c r="J123"/>
    </row>
    <row r="124" spans="7:10" x14ac:dyDescent="0.25">
      <c r="G124"/>
      <c r="J124"/>
    </row>
    <row r="125" spans="7:10" x14ac:dyDescent="0.25">
      <c r="G125"/>
      <c r="J125"/>
    </row>
    <row r="126" spans="7:10" x14ac:dyDescent="0.25">
      <c r="G126"/>
      <c r="J126"/>
    </row>
    <row r="127" spans="7:10" x14ac:dyDescent="0.25">
      <c r="G127"/>
      <c r="J127"/>
    </row>
    <row r="128" spans="7:10" x14ac:dyDescent="0.25">
      <c r="G128"/>
      <c r="J128"/>
    </row>
    <row r="129" spans="7:10" x14ac:dyDescent="0.25">
      <c r="G129"/>
      <c r="J129"/>
    </row>
    <row r="130" spans="7:10" x14ac:dyDescent="0.25">
      <c r="G130"/>
      <c r="J130"/>
    </row>
    <row r="131" spans="7:10" x14ac:dyDescent="0.25">
      <c r="G131"/>
      <c r="J131"/>
    </row>
    <row r="132" spans="7:10" x14ac:dyDescent="0.25">
      <c r="G132"/>
      <c r="J132"/>
    </row>
    <row r="133" spans="7:10" x14ac:dyDescent="0.25">
      <c r="G133"/>
      <c r="J133"/>
    </row>
    <row r="134" spans="7:10" x14ac:dyDescent="0.25">
      <c r="G134"/>
      <c r="J134"/>
    </row>
    <row r="135" spans="7:10" x14ac:dyDescent="0.25">
      <c r="G135"/>
      <c r="J135"/>
    </row>
    <row r="136" spans="7:10" x14ac:dyDescent="0.25">
      <c r="G136"/>
      <c r="J136"/>
    </row>
    <row r="137" spans="7:10" x14ac:dyDescent="0.25">
      <c r="G137"/>
      <c r="J137"/>
    </row>
    <row r="138" spans="7:10" x14ac:dyDescent="0.25">
      <c r="G138"/>
      <c r="J138"/>
    </row>
    <row r="139" spans="7:10" x14ac:dyDescent="0.25">
      <c r="G139"/>
      <c r="J139"/>
    </row>
    <row r="140" spans="7:10" x14ac:dyDescent="0.25">
      <c r="G140"/>
      <c r="J140"/>
    </row>
    <row r="141" spans="7:10" x14ac:dyDescent="0.25">
      <c r="G141"/>
      <c r="J141"/>
    </row>
    <row r="142" spans="7:10" x14ac:dyDescent="0.25">
      <c r="G142"/>
      <c r="J142"/>
    </row>
    <row r="143" spans="7:10" x14ac:dyDescent="0.25">
      <c r="G143"/>
      <c r="J143"/>
    </row>
    <row r="144" spans="7:10" x14ac:dyDescent="0.25">
      <c r="G144"/>
      <c r="J144"/>
    </row>
    <row r="145" spans="7:10" x14ac:dyDescent="0.25">
      <c r="G145"/>
      <c r="J145"/>
    </row>
    <row r="146" spans="7:10" x14ac:dyDescent="0.25">
      <c r="G146"/>
      <c r="J146"/>
    </row>
    <row r="147" spans="7:10" x14ac:dyDescent="0.25">
      <c r="G147"/>
      <c r="J147"/>
    </row>
    <row r="148" spans="7:10" x14ac:dyDescent="0.25">
      <c r="G148"/>
      <c r="J148"/>
    </row>
    <row r="149" spans="7:10" x14ac:dyDescent="0.25">
      <c r="G149"/>
      <c r="J149"/>
    </row>
    <row r="150" spans="7:10" x14ac:dyDescent="0.25">
      <c r="G150"/>
      <c r="J150"/>
    </row>
    <row r="151" spans="7:10" x14ac:dyDescent="0.25">
      <c r="G151"/>
      <c r="J151"/>
    </row>
    <row r="152" spans="7:10" x14ac:dyDescent="0.25">
      <c r="G152"/>
      <c r="J152"/>
    </row>
    <row r="153" spans="7:10" x14ac:dyDescent="0.25">
      <c r="G153"/>
      <c r="J153"/>
    </row>
    <row r="154" spans="7:10" x14ac:dyDescent="0.25">
      <c r="G154"/>
      <c r="J154"/>
    </row>
    <row r="155" spans="7:10" x14ac:dyDescent="0.25">
      <c r="G155"/>
      <c r="J155"/>
    </row>
    <row r="156" spans="7:10" x14ac:dyDescent="0.25">
      <c r="G156"/>
      <c r="J156"/>
    </row>
    <row r="157" spans="7:10" x14ac:dyDescent="0.25">
      <c r="G157"/>
      <c r="J157"/>
    </row>
    <row r="158" spans="7:10" x14ac:dyDescent="0.25">
      <c r="G158"/>
      <c r="J158"/>
    </row>
    <row r="159" spans="7:10" x14ac:dyDescent="0.25">
      <c r="G159"/>
      <c r="J159"/>
    </row>
    <row r="160" spans="7:10" x14ac:dyDescent="0.25">
      <c r="G160"/>
      <c r="J160"/>
    </row>
    <row r="161" spans="7:10" x14ac:dyDescent="0.25">
      <c r="G161"/>
      <c r="J161"/>
    </row>
    <row r="162" spans="7:10" x14ac:dyDescent="0.25">
      <c r="G162"/>
      <c r="J162"/>
    </row>
    <row r="163" spans="7:10" x14ac:dyDescent="0.25">
      <c r="G163"/>
      <c r="J163"/>
    </row>
    <row r="164" spans="7:10" x14ac:dyDescent="0.25">
      <c r="G164"/>
      <c r="J164"/>
    </row>
    <row r="165" spans="7:10" x14ac:dyDescent="0.25">
      <c r="G165"/>
      <c r="J165"/>
    </row>
    <row r="166" spans="7:10" x14ac:dyDescent="0.25">
      <c r="G166"/>
      <c r="J166"/>
    </row>
    <row r="167" spans="7:10" x14ac:dyDescent="0.25">
      <c r="G167"/>
      <c r="J167"/>
    </row>
    <row r="168" spans="7:10" x14ac:dyDescent="0.25">
      <c r="G168"/>
      <c r="J168"/>
    </row>
    <row r="169" spans="7:10" x14ac:dyDescent="0.25">
      <c r="G169"/>
      <c r="J169"/>
    </row>
    <row r="170" spans="7:10" x14ac:dyDescent="0.25">
      <c r="G170"/>
      <c r="J170"/>
    </row>
    <row r="171" spans="7:10" x14ac:dyDescent="0.25">
      <c r="G171"/>
      <c r="J171"/>
    </row>
    <row r="172" spans="7:10" x14ac:dyDescent="0.25">
      <c r="G172"/>
      <c r="J172"/>
    </row>
    <row r="173" spans="7:10" x14ac:dyDescent="0.25">
      <c r="G173"/>
      <c r="J173"/>
    </row>
    <row r="174" spans="7:10" x14ac:dyDescent="0.25">
      <c r="G174"/>
      <c r="J174"/>
    </row>
    <row r="175" spans="7:10" x14ac:dyDescent="0.25">
      <c r="G175"/>
      <c r="J175"/>
    </row>
    <row r="176" spans="7:10" x14ac:dyDescent="0.25">
      <c r="G176"/>
      <c r="J176"/>
    </row>
    <row r="177" spans="7:10" x14ac:dyDescent="0.25">
      <c r="G177"/>
      <c r="J177"/>
    </row>
    <row r="178" spans="7:10" x14ac:dyDescent="0.25">
      <c r="G178"/>
      <c r="J178"/>
    </row>
    <row r="179" spans="7:10" x14ac:dyDescent="0.25">
      <c r="G179"/>
      <c r="J179"/>
    </row>
    <row r="180" spans="7:10" x14ac:dyDescent="0.25">
      <c r="G180"/>
      <c r="J180"/>
    </row>
    <row r="181" spans="7:10" x14ac:dyDescent="0.25">
      <c r="G181"/>
      <c r="J181"/>
    </row>
    <row r="182" spans="7:10" x14ac:dyDescent="0.25">
      <c r="G182"/>
      <c r="J182"/>
    </row>
    <row r="183" spans="7:10" x14ac:dyDescent="0.25">
      <c r="G183"/>
      <c r="J183"/>
    </row>
    <row r="184" spans="7:10" x14ac:dyDescent="0.25">
      <c r="G184"/>
      <c r="J184"/>
    </row>
    <row r="185" spans="7:10" x14ac:dyDescent="0.25">
      <c r="G185"/>
      <c r="J185"/>
    </row>
    <row r="186" spans="7:10" x14ac:dyDescent="0.25">
      <c r="G186"/>
      <c r="J186"/>
    </row>
    <row r="187" spans="7:10" x14ac:dyDescent="0.25">
      <c r="G187"/>
      <c r="J187"/>
    </row>
    <row r="188" spans="7:10" x14ac:dyDescent="0.25">
      <c r="G188"/>
      <c r="J188"/>
    </row>
    <row r="189" spans="7:10" x14ac:dyDescent="0.25">
      <c r="G189"/>
      <c r="J189"/>
    </row>
    <row r="190" spans="7:10" x14ac:dyDescent="0.25">
      <c r="G190"/>
      <c r="J190"/>
    </row>
    <row r="191" spans="7:10" x14ac:dyDescent="0.25">
      <c r="G191"/>
      <c r="J191"/>
    </row>
    <row r="192" spans="7:10" x14ac:dyDescent="0.25">
      <c r="G192"/>
      <c r="J192"/>
    </row>
    <row r="193" spans="7:10" x14ac:dyDescent="0.25">
      <c r="G193"/>
      <c r="J193"/>
    </row>
    <row r="194" spans="7:10" x14ac:dyDescent="0.25">
      <c r="G194"/>
      <c r="J194"/>
    </row>
    <row r="195" spans="7:10" x14ac:dyDescent="0.25">
      <c r="G195"/>
      <c r="J195"/>
    </row>
    <row r="196" spans="7:10" x14ac:dyDescent="0.25">
      <c r="G196"/>
      <c r="J196"/>
    </row>
    <row r="197" spans="7:10" x14ac:dyDescent="0.25">
      <c r="G197"/>
      <c r="J197"/>
    </row>
    <row r="198" spans="7:10" x14ac:dyDescent="0.25">
      <c r="G198"/>
      <c r="J198"/>
    </row>
    <row r="199" spans="7:10" x14ac:dyDescent="0.25">
      <c r="G199"/>
      <c r="J199"/>
    </row>
    <row r="200" spans="7:10" x14ac:dyDescent="0.25">
      <c r="G200"/>
      <c r="J200"/>
    </row>
    <row r="201" spans="7:10" x14ac:dyDescent="0.25">
      <c r="G201"/>
      <c r="J201"/>
    </row>
    <row r="202" spans="7:10" x14ac:dyDescent="0.25">
      <c r="G202"/>
      <c r="J202"/>
    </row>
    <row r="203" spans="7:10" x14ac:dyDescent="0.25">
      <c r="G203"/>
      <c r="J203"/>
    </row>
    <row r="204" spans="7:10" x14ac:dyDescent="0.25">
      <c r="G204"/>
      <c r="J204"/>
    </row>
    <row r="205" spans="7:10" x14ac:dyDescent="0.25">
      <c r="G205"/>
      <c r="J205"/>
    </row>
    <row r="206" spans="7:10" x14ac:dyDescent="0.25">
      <c r="G206"/>
      <c r="J206"/>
    </row>
    <row r="207" spans="7:10" x14ac:dyDescent="0.25">
      <c r="G207"/>
      <c r="J207"/>
    </row>
    <row r="208" spans="7:10" x14ac:dyDescent="0.25">
      <c r="G208"/>
      <c r="J208"/>
    </row>
    <row r="209" spans="7:10" x14ac:dyDescent="0.25">
      <c r="G209"/>
      <c r="J209"/>
    </row>
    <row r="210" spans="7:10" x14ac:dyDescent="0.25">
      <c r="G210"/>
      <c r="J210"/>
    </row>
    <row r="211" spans="7:10" x14ac:dyDescent="0.25">
      <c r="G211"/>
      <c r="J211"/>
    </row>
    <row r="212" spans="7:10" x14ac:dyDescent="0.25">
      <c r="G212"/>
      <c r="J212"/>
    </row>
  </sheetData>
  <mergeCells count="5">
    <mergeCell ref="J2:L2"/>
    <mergeCell ref="J3:L3"/>
    <mergeCell ref="B5:F5"/>
    <mergeCell ref="P4:V4"/>
    <mergeCell ref="X4:AE4"/>
  </mergeCell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OFFSET(Listas!$M$2, 0, 0, COUNTA(Listas!$M:$M) - 1)</xm:f>
          </x14:formula1>
          <xm:sqref>H6:H35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tabColor theme="5"/>
  </sheetPr>
  <dimension ref="A1:Q91"/>
  <sheetViews>
    <sheetView zoomScale="80" zoomScaleNormal="80" workbookViewId="0">
      <selection activeCell="K7" sqref="K7"/>
    </sheetView>
  </sheetViews>
  <sheetFormatPr baseColWidth="10" defaultRowHeight="15" x14ac:dyDescent="0.25"/>
  <cols>
    <col min="1" max="1" width="5.85546875" style="35" customWidth="1"/>
    <col min="2" max="2" width="17.140625" style="35" customWidth="1"/>
    <col min="3" max="12" width="18.140625" style="35" customWidth="1"/>
    <col min="13" max="13" width="5.140625" style="35" customWidth="1"/>
    <col min="14" max="15" width="11.42578125" style="35"/>
    <col min="16" max="16" width="11.42578125" style="83"/>
    <col min="17" max="16384" width="11.42578125" style="35"/>
  </cols>
  <sheetData>
    <row r="1" spans="1:15" ht="15.75" thickTop="1" x14ac:dyDescent="0.25">
      <c r="A1" s="24"/>
      <c r="B1" s="27"/>
      <c r="C1" s="27"/>
      <c r="D1" s="27"/>
      <c r="E1" s="27"/>
      <c r="F1" s="27"/>
      <c r="G1" s="27"/>
      <c r="H1" s="27"/>
      <c r="I1" s="27"/>
      <c r="J1" s="27"/>
      <c r="K1" s="27"/>
      <c r="L1" s="27"/>
      <c r="M1" s="29"/>
      <c r="N1" s="32"/>
    </row>
    <row r="2" spans="1:15" ht="31.5" customHeight="1" x14ac:dyDescent="0.25">
      <c r="A2" s="30"/>
      <c r="B2" s="398" t="s">
        <v>140</v>
      </c>
      <c r="C2" s="398"/>
      <c r="D2" s="398"/>
      <c r="E2" s="398"/>
      <c r="F2" s="398"/>
      <c r="G2" s="398"/>
      <c r="H2" s="398"/>
      <c r="I2" s="398"/>
      <c r="J2" s="398"/>
      <c r="K2" s="398"/>
      <c r="L2" s="398"/>
      <c r="M2" s="82"/>
      <c r="N2" s="32"/>
    </row>
    <row r="3" spans="1:15" x14ac:dyDescent="0.25">
      <c r="A3" s="30"/>
      <c r="B3" s="83"/>
      <c r="C3" s="83"/>
      <c r="D3" s="83"/>
      <c r="E3" s="83"/>
      <c r="F3" s="83"/>
      <c r="G3" s="83"/>
      <c r="H3" s="83"/>
      <c r="I3" s="83"/>
      <c r="J3" s="83"/>
      <c r="K3" s="83"/>
      <c r="L3" s="83"/>
      <c r="M3" s="82"/>
      <c r="N3" s="32"/>
    </row>
    <row r="4" spans="1:15" ht="87.75" customHeight="1" x14ac:dyDescent="0.25">
      <c r="A4" s="30"/>
      <c r="B4" s="399" t="s">
        <v>713</v>
      </c>
      <c r="C4" s="399"/>
      <c r="D4" s="399"/>
      <c r="E4" s="399"/>
      <c r="F4" s="399"/>
      <c r="G4" s="399"/>
      <c r="H4" s="399"/>
      <c r="I4" s="399"/>
      <c r="J4" s="399"/>
      <c r="K4" s="399"/>
      <c r="L4" s="399"/>
      <c r="M4" s="84"/>
      <c r="N4" s="32"/>
    </row>
    <row r="5" spans="1:15" x14ac:dyDescent="0.25">
      <c r="A5" s="30"/>
      <c r="B5" s="83"/>
      <c r="C5" s="83"/>
      <c r="D5" s="83"/>
      <c r="E5" s="83"/>
      <c r="F5" s="83"/>
      <c r="G5" s="83"/>
      <c r="H5" s="83"/>
      <c r="I5" s="83"/>
      <c r="J5" s="83"/>
      <c r="K5" s="83"/>
      <c r="L5" s="83"/>
      <c r="M5" s="82"/>
      <c r="N5" s="32"/>
    </row>
    <row r="6" spans="1:15" x14ac:dyDescent="0.25">
      <c r="A6" s="30"/>
      <c r="B6" s="68" t="s">
        <v>147</v>
      </c>
      <c r="C6" s="83"/>
      <c r="D6" s="68"/>
      <c r="E6" s="2"/>
      <c r="F6" s="2"/>
      <c r="G6" s="2"/>
      <c r="H6" s="2"/>
      <c r="I6" s="2"/>
      <c r="J6" s="2"/>
      <c r="K6" s="2"/>
      <c r="L6" s="2"/>
      <c r="M6" s="85"/>
      <c r="N6" s="32"/>
    </row>
    <row r="7" spans="1:15" ht="59.25" customHeight="1" x14ac:dyDescent="0.25">
      <c r="A7" s="30"/>
      <c r="B7" s="9" t="s">
        <v>0</v>
      </c>
      <c r="C7" s="9" t="s">
        <v>141</v>
      </c>
      <c r="D7" s="9" t="s">
        <v>1</v>
      </c>
      <c r="E7" s="9" t="s">
        <v>93</v>
      </c>
      <c r="F7" s="9" t="s">
        <v>85</v>
      </c>
      <c r="G7" s="9" t="s">
        <v>74</v>
      </c>
      <c r="H7" s="9" t="s">
        <v>131</v>
      </c>
      <c r="I7" s="9" t="s">
        <v>152</v>
      </c>
      <c r="J7" s="168" t="s">
        <v>210</v>
      </c>
      <c r="K7" s="83"/>
      <c r="L7" s="83"/>
      <c r="M7" s="85"/>
      <c r="N7" s="85"/>
      <c r="O7" s="32"/>
    </row>
    <row r="8" spans="1:15" ht="21.75" customHeight="1" x14ac:dyDescent="0.25">
      <c r="A8" s="30"/>
      <c r="B8" s="108">
        <v>1374668</v>
      </c>
      <c r="C8" s="71">
        <v>1</v>
      </c>
      <c r="D8" s="108" t="s">
        <v>112</v>
      </c>
      <c r="E8" s="71" t="s">
        <v>113</v>
      </c>
      <c r="F8" s="108" t="s">
        <v>114</v>
      </c>
      <c r="G8" s="108" t="s">
        <v>98</v>
      </c>
      <c r="H8" s="108" t="s">
        <v>133</v>
      </c>
      <c r="I8" s="108" t="s">
        <v>133</v>
      </c>
      <c r="J8" s="127">
        <f>SUM(C40:H51)*1.19/SUM(C24:C35)</f>
        <v>85.726742707311658</v>
      </c>
      <c r="K8" s="83"/>
      <c r="L8" s="83"/>
      <c r="M8" s="85"/>
      <c r="N8" s="85"/>
      <c r="O8" s="32"/>
    </row>
    <row r="9" spans="1:15" x14ac:dyDescent="0.25">
      <c r="A9" s="30"/>
      <c r="B9" s="2"/>
      <c r="C9" s="2"/>
      <c r="D9" s="2"/>
      <c r="E9" s="2"/>
      <c r="F9" s="2"/>
      <c r="G9" s="2"/>
      <c r="H9" s="2"/>
      <c r="I9" s="2"/>
      <c r="J9" s="2"/>
      <c r="K9" s="2"/>
      <c r="L9" s="2"/>
      <c r="M9" s="85"/>
      <c r="N9" s="32"/>
    </row>
    <row r="10" spans="1:15" x14ac:dyDescent="0.25">
      <c r="A10" s="30"/>
      <c r="B10" s="109" t="s">
        <v>151</v>
      </c>
      <c r="C10" s="2"/>
      <c r="D10" s="2"/>
      <c r="E10" s="2"/>
      <c r="F10" s="2"/>
      <c r="G10" s="2"/>
      <c r="H10" s="2"/>
      <c r="I10" s="2"/>
      <c r="J10" s="2"/>
      <c r="K10" s="2"/>
      <c r="L10" s="2"/>
      <c r="M10" s="85"/>
      <c r="N10" s="32"/>
    </row>
    <row r="11" spans="1:15" ht="57" customHeight="1" x14ac:dyDescent="0.25">
      <c r="A11" s="30"/>
      <c r="B11" s="9" t="s">
        <v>134</v>
      </c>
      <c r="C11" s="9" t="s">
        <v>109</v>
      </c>
      <c r="D11" s="9" t="s">
        <v>110</v>
      </c>
      <c r="E11" s="9" t="s">
        <v>119</v>
      </c>
      <c r="F11" s="83"/>
      <c r="G11" s="83"/>
      <c r="H11" s="83"/>
      <c r="I11" s="83"/>
      <c r="J11" s="83"/>
      <c r="K11" s="2"/>
      <c r="L11" s="2"/>
      <c r="M11" s="85"/>
      <c r="N11" s="32"/>
    </row>
    <row r="12" spans="1:15" x14ac:dyDescent="0.25">
      <c r="A12" s="30"/>
      <c r="B12" s="111">
        <f>SUM(C24:C35)</f>
        <v>2543815</v>
      </c>
      <c r="C12" s="90" t="str">
        <f ca="1">INDEX(B70:B75,MATCH(D12,J70:J75,0),0)</f>
        <v>AT2</v>
      </c>
      <c r="D12" s="89">
        <f ca="1">MIN(J70:J75)</f>
        <v>257809208.37249997</v>
      </c>
      <c r="E12" s="89">
        <f ca="1">VLOOKUP(G8,B70:J75,9,FALSE)-D12</f>
        <v>63313270.607500046</v>
      </c>
      <c r="F12" s="83"/>
      <c r="G12" s="83"/>
      <c r="H12" s="83"/>
      <c r="I12" s="83"/>
      <c r="J12" s="83"/>
      <c r="K12" s="2"/>
      <c r="L12" s="2"/>
      <c r="M12" s="85"/>
      <c r="N12" s="32"/>
    </row>
    <row r="13" spans="1:15" x14ac:dyDescent="0.25">
      <c r="A13" s="30"/>
      <c r="B13" s="2"/>
      <c r="C13" s="2"/>
      <c r="D13" s="2"/>
      <c r="E13" s="2"/>
      <c r="F13" s="2"/>
      <c r="G13" s="2"/>
      <c r="H13" s="2"/>
      <c r="I13" s="2"/>
      <c r="J13" s="2"/>
      <c r="K13" s="2"/>
      <c r="L13" s="2"/>
      <c r="M13" s="85"/>
      <c r="N13" s="32"/>
    </row>
    <row r="14" spans="1:15" x14ac:dyDescent="0.25">
      <c r="A14" s="30"/>
      <c r="B14" s="109" t="s">
        <v>154</v>
      </c>
      <c r="C14" s="2"/>
      <c r="D14" s="2"/>
      <c r="E14" s="2"/>
      <c r="F14" s="2"/>
      <c r="G14" s="2"/>
      <c r="H14" s="2"/>
      <c r="I14" s="2"/>
      <c r="J14" s="2"/>
      <c r="K14" s="2"/>
      <c r="L14" s="2"/>
      <c r="M14" s="85"/>
      <c r="N14" s="32"/>
    </row>
    <row r="15" spans="1:15" ht="59.25" customHeight="1" x14ac:dyDescent="0.25">
      <c r="A15" s="30"/>
      <c r="B15" s="9" t="s">
        <v>117</v>
      </c>
      <c r="C15" s="9" t="s">
        <v>118</v>
      </c>
      <c r="D15" s="9" t="s">
        <v>123</v>
      </c>
      <c r="E15" s="9" t="s">
        <v>119</v>
      </c>
      <c r="F15" s="9" t="s">
        <v>120</v>
      </c>
      <c r="G15" s="9" t="s">
        <v>153</v>
      </c>
      <c r="H15" s="2"/>
      <c r="I15" s="2"/>
      <c r="J15" s="2"/>
      <c r="K15" s="2"/>
      <c r="L15" s="2"/>
      <c r="M15" s="85"/>
      <c r="N15" s="32"/>
    </row>
    <row r="16" spans="1:15" x14ac:dyDescent="0.25">
      <c r="A16" s="30"/>
      <c r="B16" s="88" t="str">
        <f>IF(I52&gt;0,"SI","NO")</f>
        <v>SI</v>
      </c>
      <c r="C16" s="96">
        <f>IF(B16="SI",INDEX(D24:D35,MATCH(MAX(I40:I51),I40:I51,0),1)-SQRT((INDEX(C24:C35,MATCH(MAX(I40:I51),I40:I51,0),1)/0.93)^2-INDEX(C24:C35,MATCH(MAX(I40:I51),I40:I51,0),1)^2),"")</f>
        <v>37636.650087791873</v>
      </c>
      <c r="D16" s="98">
        <f>IF(B16="SI",C16/30/24,"")</f>
        <v>52.273125121933155</v>
      </c>
      <c r="E16" s="89">
        <f>IF(B16="SI",I52,"")</f>
        <v>315000</v>
      </c>
      <c r="F16" s="89">
        <f>IF(B16="SI",VLOOKUP(D16,Listas!$B$2:$C$16,2,TRUE),"")</f>
        <v>1388625</v>
      </c>
      <c r="G16" s="96">
        <f>F16/E16</f>
        <v>4.4083333333333332</v>
      </c>
      <c r="H16" s="2"/>
      <c r="I16" s="2"/>
      <c r="J16" s="2"/>
      <c r="K16" s="2"/>
      <c r="L16" s="2"/>
      <c r="M16" s="85"/>
      <c r="N16" s="32"/>
    </row>
    <row r="17" spans="1:17" x14ac:dyDescent="0.25">
      <c r="A17" s="30"/>
      <c r="B17" s="2"/>
      <c r="C17" s="2"/>
      <c r="D17" s="2"/>
      <c r="E17" s="2"/>
      <c r="F17" s="2"/>
      <c r="G17" s="2"/>
      <c r="H17" s="2"/>
      <c r="I17" s="2"/>
      <c r="J17" s="2"/>
      <c r="K17" s="2"/>
      <c r="L17" s="2"/>
      <c r="M17" s="85"/>
      <c r="N17" s="32"/>
    </row>
    <row r="18" spans="1:17" x14ac:dyDescent="0.25">
      <c r="A18" s="30"/>
      <c r="B18" s="103" t="s">
        <v>157</v>
      </c>
      <c r="C18" s="2"/>
      <c r="D18" s="2"/>
      <c r="E18" s="2"/>
      <c r="F18" s="2"/>
      <c r="G18" s="2"/>
      <c r="H18" s="2"/>
      <c r="I18" s="2"/>
      <c r="J18" s="2"/>
      <c r="K18" s="2"/>
      <c r="L18" s="2"/>
      <c r="M18" s="85"/>
      <c r="N18" s="32"/>
    </row>
    <row r="19" spans="1:17" ht="56.25" customHeight="1" x14ac:dyDescent="0.25">
      <c r="A19" s="30"/>
      <c r="B19" s="9" t="s">
        <v>155</v>
      </c>
      <c r="C19" s="9" t="s">
        <v>149</v>
      </c>
      <c r="D19" s="110" t="s">
        <v>150</v>
      </c>
      <c r="E19" s="110" t="s">
        <v>162</v>
      </c>
      <c r="F19" s="110" t="s">
        <v>160</v>
      </c>
      <c r="G19" s="110" t="s">
        <v>161</v>
      </c>
      <c r="H19" s="110" t="s">
        <v>156</v>
      </c>
      <c r="I19" s="9" t="s">
        <v>119</v>
      </c>
      <c r="J19" s="9" t="s">
        <v>153</v>
      </c>
      <c r="K19" s="2"/>
      <c r="L19" s="2"/>
      <c r="M19" s="85"/>
      <c r="N19" s="2"/>
      <c r="O19" s="2"/>
      <c r="P19" s="2"/>
      <c r="Q19" s="32"/>
    </row>
    <row r="20" spans="1:17" x14ac:dyDescent="0.25">
      <c r="A20" s="30"/>
      <c r="B20" s="88" t="str">
        <f>IF(AND(MID(G8,3,LEN(G8)-2)&lt;&gt;"2",MID(G8,3,LEN(G8)-2)&lt;&gt;"3",I8="NO"),"SI","NO")</f>
        <v>SI</v>
      </c>
      <c r="C20" s="96">
        <f ca="1">IF($B$20="SI",INDEX(L59:L62,MATCH(G8,B59:B62,0),1),"")</f>
        <v>406.95</v>
      </c>
      <c r="D20" s="89">
        <f ca="1">IF(B20="SI",INDEX(Listas!$F$2:$F$32,MATCH($C$20,Listas!$E$2:$E$32,1)+1,1),"")</f>
        <v>29778947.368421055</v>
      </c>
      <c r="E20" s="114">
        <v>4</v>
      </c>
      <c r="F20" s="114">
        <v>512</v>
      </c>
      <c r="G20" s="96">
        <f ca="1">IF($B$20="SI",INDEX(Listas!$G$2:$G$32,MATCH($C$20,Listas!$E$2:$E$32,1)+1,1),"")</f>
        <v>106.6</v>
      </c>
      <c r="H20" s="89">
        <f ca="1">E20*(30+31+30+31+31+30)*F20*G20</f>
        <v>39951974.399999999</v>
      </c>
      <c r="I20" s="89">
        <f ca="1">IF($B$20="SI",INDEX(I72:I75,MATCH(G8,B72:B75,0),1)-H20,"")</f>
        <v>12772630.380000003</v>
      </c>
      <c r="J20" s="96">
        <f ca="1">IF(AND(B20="SI",I20&gt;0),D20/I20,"N/A")</f>
        <v>2.3314655229552685</v>
      </c>
      <c r="K20" s="2"/>
      <c r="L20" s="2"/>
      <c r="M20" s="85"/>
      <c r="N20" s="2"/>
      <c r="O20" s="2"/>
      <c r="P20" s="2"/>
      <c r="Q20" s="32"/>
    </row>
    <row r="21" spans="1:17" x14ac:dyDescent="0.25">
      <c r="A21" s="30"/>
      <c r="B21" s="2"/>
      <c r="C21" s="2"/>
      <c r="D21" s="2"/>
      <c r="E21" s="2"/>
      <c r="F21" s="2"/>
      <c r="G21" s="2"/>
      <c r="H21" s="2"/>
      <c r="I21" s="2"/>
      <c r="J21" s="2"/>
      <c r="K21" s="2"/>
      <c r="L21" s="2"/>
      <c r="M21" s="85"/>
      <c r="N21" s="32"/>
    </row>
    <row r="22" spans="1:17" x14ac:dyDescent="0.25">
      <c r="A22" s="30"/>
      <c r="B22" s="112" t="s">
        <v>2</v>
      </c>
      <c r="C22" s="112"/>
      <c r="D22" s="112"/>
      <c r="E22" s="112"/>
      <c r="F22" s="67"/>
      <c r="G22" s="2"/>
      <c r="H22" s="2"/>
      <c r="I22" s="2"/>
      <c r="J22" s="2"/>
      <c r="K22" s="2"/>
      <c r="L22" s="2"/>
      <c r="M22" s="85"/>
      <c r="N22" s="32"/>
    </row>
    <row r="23" spans="1:17" ht="66" customHeight="1" x14ac:dyDescent="0.25">
      <c r="A23" s="30"/>
      <c r="B23" s="9" t="s">
        <v>3</v>
      </c>
      <c r="C23" s="9" t="s">
        <v>4</v>
      </c>
      <c r="D23" s="9" t="s">
        <v>115</v>
      </c>
      <c r="E23" s="9" t="s">
        <v>75</v>
      </c>
      <c r="F23" s="10" t="s">
        <v>76</v>
      </c>
      <c r="G23" s="10" t="s">
        <v>5</v>
      </c>
      <c r="H23" s="10" t="s">
        <v>77</v>
      </c>
      <c r="I23" s="10" t="s">
        <v>6</v>
      </c>
      <c r="J23" s="10" t="s">
        <v>7</v>
      </c>
      <c r="K23" s="83"/>
      <c r="L23" s="83"/>
      <c r="M23" s="31"/>
    </row>
    <row r="24" spans="1:17" x14ac:dyDescent="0.25">
      <c r="A24" s="30"/>
      <c r="B24" s="69" t="s">
        <v>16</v>
      </c>
      <c r="C24" s="73">
        <v>224000</v>
      </c>
      <c r="D24" s="73">
        <v>86078</v>
      </c>
      <c r="E24" s="76">
        <v>0</v>
      </c>
      <c r="F24" s="77" t="s">
        <v>116</v>
      </c>
      <c r="G24" s="77" t="s">
        <v>116</v>
      </c>
      <c r="H24" s="74">
        <v>450</v>
      </c>
      <c r="I24" s="75">
        <v>407</v>
      </c>
      <c r="J24" s="81">
        <f>COS(TANH(D24/C24))</f>
        <v>0.93361744256909673</v>
      </c>
      <c r="K24" s="83"/>
      <c r="L24" s="83"/>
      <c r="M24" s="31"/>
    </row>
    <row r="25" spans="1:17" x14ac:dyDescent="0.25">
      <c r="A25" s="30"/>
      <c r="B25" s="70" t="s">
        <v>37</v>
      </c>
      <c r="C25" s="73">
        <v>220500</v>
      </c>
      <c r="D25" s="73">
        <v>84734</v>
      </c>
      <c r="E25" s="76">
        <v>0</v>
      </c>
      <c r="F25" s="77" t="s">
        <v>116</v>
      </c>
      <c r="G25" s="77" t="s">
        <v>116</v>
      </c>
      <c r="H25" s="74">
        <v>450</v>
      </c>
      <c r="I25" s="75">
        <v>407</v>
      </c>
      <c r="J25" s="81">
        <f t="shared" ref="J25:J35" si="0">COS(TANH(D25/C25))</f>
        <v>0.93361607985721728</v>
      </c>
      <c r="K25" s="83"/>
      <c r="L25" s="83"/>
      <c r="M25" s="31"/>
    </row>
    <row r="26" spans="1:17" x14ac:dyDescent="0.25">
      <c r="A26" s="30"/>
      <c r="B26" s="69" t="s">
        <v>18</v>
      </c>
      <c r="C26" s="73">
        <v>259000</v>
      </c>
      <c r="D26" s="73">
        <v>140000</v>
      </c>
      <c r="E26" s="76">
        <v>0</v>
      </c>
      <c r="F26" s="77" t="s">
        <v>116</v>
      </c>
      <c r="G26" s="77" t="s">
        <v>116</v>
      </c>
      <c r="H26" s="74">
        <v>450</v>
      </c>
      <c r="I26" s="75">
        <v>407</v>
      </c>
      <c r="J26" s="81">
        <f t="shared" si="0"/>
        <v>0.88072904199247359</v>
      </c>
      <c r="K26" s="83"/>
      <c r="L26" s="83"/>
      <c r="M26" s="31"/>
    </row>
    <row r="27" spans="1:17" x14ac:dyDescent="0.25">
      <c r="A27" s="30"/>
      <c r="B27" s="70" t="s">
        <v>19</v>
      </c>
      <c r="C27" s="76">
        <v>183963</v>
      </c>
      <c r="D27" s="73">
        <v>70693</v>
      </c>
      <c r="E27" s="76">
        <v>0</v>
      </c>
      <c r="F27" s="77" t="s">
        <v>116</v>
      </c>
      <c r="G27" s="77" t="s">
        <v>116</v>
      </c>
      <c r="H27" s="74">
        <v>450</v>
      </c>
      <c r="I27" s="75">
        <v>407</v>
      </c>
      <c r="J27" s="81">
        <f t="shared" si="0"/>
        <v>0.933616954172658</v>
      </c>
      <c r="K27" s="83"/>
      <c r="L27" s="83"/>
      <c r="M27" s="31"/>
    </row>
    <row r="28" spans="1:17" x14ac:dyDescent="0.25">
      <c r="A28" s="30"/>
      <c r="B28" s="69" t="s">
        <v>20</v>
      </c>
      <c r="C28" s="73">
        <v>161000</v>
      </c>
      <c r="D28" s="73">
        <v>61869</v>
      </c>
      <c r="E28" s="76">
        <v>0</v>
      </c>
      <c r="F28" s="77" t="s">
        <v>116</v>
      </c>
      <c r="G28" s="77" t="s">
        <v>116</v>
      </c>
      <c r="H28" s="74">
        <v>450</v>
      </c>
      <c r="I28" s="75">
        <v>407</v>
      </c>
      <c r="J28" s="81">
        <f t="shared" si="0"/>
        <v>0.93361659971471833</v>
      </c>
      <c r="K28" s="83"/>
      <c r="L28" s="83"/>
      <c r="M28" s="31"/>
    </row>
    <row r="29" spans="1:17" x14ac:dyDescent="0.25">
      <c r="A29" s="30"/>
      <c r="B29" s="70" t="s">
        <v>21</v>
      </c>
      <c r="C29" s="76">
        <v>183963</v>
      </c>
      <c r="D29" s="73">
        <v>70693</v>
      </c>
      <c r="E29" s="76">
        <v>0</v>
      </c>
      <c r="F29" s="77" t="s">
        <v>116</v>
      </c>
      <c r="G29" s="77" t="s">
        <v>116</v>
      </c>
      <c r="H29" s="74">
        <v>450</v>
      </c>
      <c r="I29" s="75">
        <v>407</v>
      </c>
      <c r="J29" s="81">
        <f t="shared" si="0"/>
        <v>0.933616954172658</v>
      </c>
      <c r="K29" s="83"/>
      <c r="L29" s="83"/>
      <c r="M29" s="31"/>
    </row>
    <row r="30" spans="1:17" x14ac:dyDescent="0.25">
      <c r="A30" s="30"/>
      <c r="B30" s="69" t="s">
        <v>22</v>
      </c>
      <c r="C30" s="76">
        <v>183963</v>
      </c>
      <c r="D30" s="73">
        <v>70693</v>
      </c>
      <c r="E30" s="76">
        <v>0</v>
      </c>
      <c r="F30" s="77" t="s">
        <v>116</v>
      </c>
      <c r="G30" s="77" t="s">
        <v>116</v>
      </c>
      <c r="H30" s="74">
        <v>450</v>
      </c>
      <c r="I30" s="75">
        <v>407</v>
      </c>
      <c r="J30" s="81">
        <f t="shared" si="0"/>
        <v>0.933616954172658</v>
      </c>
      <c r="K30" s="83"/>
      <c r="L30" s="83"/>
      <c r="M30" s="31"/>
    </row>
    <row r="31" spans="1:17" x14ac:dyDescent="0.25">
      <c r="A31" s="30"/>
      <c r="B31" s="70" t="s">
        <v>23</v>
      </c>
      <c r="C31" s="76">
        <v>183963</v>
      </c>
      <c r="D31" s="76">
        <v>70693</v>
      </c>
      <c r="E31" s="76">
        <v>0</v>
      </c>
      <c r="F31" s="77" t="s">
        <v>116</v>
      </c>
      <c r="G31" s="77" t="s">
        <v>116</v>
      </c>
      <c r="H31" s="74">
        <v>450</v>
      </c>
      <c r="I31" s="75">
        <v>407</v>
      </c>
      <c r="J31" s="81">
        <f t="shared" si="0"/>
        <v>0.933616954172658</v>
      </c>
      <c r="K31" s="83"/>
      <c r="L31" s="83"/>
      <c r="M31" s="31"/>
    </row>
    <row r="32" spans="1:17" x14ac:dyDescent="0.25">
      <c r="A32" s="30"/>
      <c r="B32" s="69" t="s">
        <v>24</v>
      </c>
      <c r="C32" s="76">
        <v>183963</v>
      </c>
      <c r="D32" s="73">
        <v>70693</v>
      </c>
      <c r="E32" s="76">
        <v>0</v>
      </c>
      <c r="F32" s="77" t="s">
        <v>116</v>
      </c>
      <c r="G32" s="77" t="s">
        <v>116</v>
      </c>
      <c r="H32" s="74">
        <v>450</v>
      </c>
      <c r="I32" s="75">
        <v>407</v>
      </c>
      <c r="J32" s="81">
        <f t="shared" si="0"/>
        <v>0.933616954172658</v>
      </c>
      <c r="K32" s="83"/>
      <c r="L32" s="83"/>
      <c r="M32" s="31"/>
    </row>
    <row r="33" spans="1:16" x14ac:dyDescent="0.25">
      <c r="A33" s="30"/>
      <c r="B33" s="70" t="s">
        <v>25</v>
      </c>
      <c r="C33" s="76">
        <v>259000</v>
      </c>
      <c r="D33" s="73">
        <v>99528</v>
      </c>
      <c r="E33" s="76">
        <v>0</v>
      </c>
      <c r="F33" s="77" t="s">
        <v>116</v>
      </c>
      <c r="G33" s="77" t="s">
        <v>116</v>
      </c>
      <c r="H33" s="74">
        <v>450</v>
      </c>
      <c r="I33" s="75">
        <v>407</v>
      </c>
      <c r="J33" s="81">
        <f t="shared" si="0"/>
        <v>0.93361706832916636</v>
      </c>
      <c r="K33" s="83"/>
      <c r="L33" s="83"/>
      <c r="M33" s="31"/>
    </row>
    <row r="34" spans="1:16" x14ac:dyDescent="0.25">
      <c r="A34" s="30"/>
      <c r="B34" s="69" t="s">
        <v>26</v>
      </c>
      <c r="C34" s="76">
        <v>255500</v>
      </c>
      <c r="D34" s="73">
        <v>98183</v>
      </c>
      <c r="E34" s="76">
        <v>0</v>
      </c>
      <c r="F34" s="77" t="s">
        <v>116</v>
      </c>
      <c r="G34" s="77" t="s">
        <v>116</v>
      </c>
      <c r="H34" s="74">
        <v>450</v>
      </c>
      <c r="I34" s="75">
        <v>407</v>
      </c>
      <c r="J34" s="81">
        <f t="shared" si="0"/>
        <v>0.93361710113926988</v>
      </c>
      <c r="K34" s="83"/>
      <c r="L34" s="83"/>
      <c r="M34" s="31"/>
    </row>
    <row r="35" spans="1:16" x14ac:dyDescent="0.25">
      <c r="A35" s="30"/>
      <c r="B35" s="70" t="s">
        <v>27</v>
      </c>
      <c r="C35" s="76">
        <v>245000</v>
      </c>
      <c r="D35" s="73">
        <v>94148</v>
      </c>
      <c r="E35" s="76">
        <v>0</v>
      </c>
      <c r="F35" s="77" t="s">
        <v>116</v>
      </c>
      <c r="G35" s="77" t="s">
        <v>116</v>
      </c>
      <c r="H35" s="74">
        <v>450</v>
      </c>
      <c r="I35" s="75">
        <v>407</v>
      </c>
      <c r="J35" s="81">
        <f t="shared" si="0"/>
        <v>0.93361720519413494</v>
      </c>
      <c r="K35" s="83"/>
      <c r="L35" s="83"/>
      <c r="M35" s="31"/>
    </row>
    <row r="36" spans="1:16" x14ac:dyDescent="0.25">
      <c r="A36" s="30"/>
      <c r="B36" s="197" t="s">
        <v>649</v>
      </c>
      <c r="C36" s="303">
        <f>SUM(C24:C35)</f>
        <v>2543815</v>
      </c>
      <c r="D36" s="303">
        <f>SUM(D24:D35)</f>
        <v>1018005</v>
      </c>
      <c r="E36" s="83"/>
      <c r="F36" s="83"/>
      <c r="G36" s="83"/>
      <c r="H36" s="83"/>
      <c r="I36" s="83"/>
      <c r="J36" s="83"/>
      <c r="K36" s="83"/>
      <c r="L36" s="83"/>
      <c r="M36" s="31"/>
    </row>
    <row r="37" spans="1:16" s="166" customFormat="1" x14ac:dyDescent="0.25">
      <c r="A37" s="30"/>
      <c r="B37" s="83"/>
      <c r="C37" s="83"/>
      <c r="D37" s="83"/>
      <c r="E37" s="83"/>
      <c r="F37" s="83"/>
      <c r="G37" s="83"/>
      <c r="H37" s="83"/>
      <c r="I37" s="83"/>
      <c r="J37" s="83"/>
      <c r="K37" s="83"/>
      <c r="L37" s="83"/>
      <c r="M37" s="31"/>
      <c r="P37" s="83"/>
    </row>
    <row r="38" spans="1:16" x14ac:dyDescent="0.25">
      <c r="A38" s="30"/>
      <c r="B38" s="92" t="s">
        <v>148</v>
      </c>
      <c r="C38" s="83"/>
      <c r="D38" s="83"/>
      <c r="E38" s="83"/>
      <c r="F38" s="83"/>
      <c r="G38" s="83"/>
      <c r="H38" s="83"/>
      <c r="I38" s="83"/>
      <c r="J38" s="83"/>
      <c r="K38" s="83"/>
      <c r="L38" s="83"/>
      <c r="M38" s="82"/>
      <c r="N38" s="32"/>
    </row>
    <row r="39" spans="1:16" ht="51" x14ac:dyDescent="0.25">
      <c r="A39" s="30"/>
      <c r="B39" s="9" t="s">
        <v>3</v>
      </c>
      <c r="C39" s="10" t="s">
        <v>78</v>
      </c>
      <c r="D39" s="10" t="s">
        <v>79</v>
      </c>
      <c r="E39" s="10" t="s">
        <v>80</v>
      </c>
      <c r="F39" s="10" t="s">
        <v>84</v>
      </c>
      <c r="G39" s="10" t="s">
        <v>82</v>
      </c>
      <c r="H39" s="10" t="s">
        <v>81</v>
      </c>
      <c r="I39" s="10" t="s">
        <v>8</v>
      </c>
      <c r="J39" s="10" t="s">
        <v>83</v>
      </c>
      <c r="K39" s="10" t="s">
        <v>10</v>
      </c>
      <c r="L39" s="10" t="s">
        <v>11</v>
      </c>
      <c r="M39" s="82"/>
      <c r="N39" s="32"/>
    </row>
    <row r="40" spans="1:16" x14ac:dyDescent="0.25">
      <c r="A40" s="30"/>
      <c r="B40" s="69" t="s">
        <v>16</v>
      </c>
      <c r="C40" s="78">
        <v>1233</v>
      </c>
      <c r="D40" s="78">
        <v>278432</v>
      </c>
      <c r="E40" s="78">
        <v>15381408</v>
      </c>
      <c r="F40" s="78" t="s">
        <v>636</v>
      </c>
      <c r="G40" s="78">
        <v>407629</v>
      </c>
      <c r="H40" s="78">
        <v>42505</v>
      </c>
      <c r="I40" s="78" t="s">
        <v>636</v>
      </c>
      <c r="J40" s="78">
        <v>2087405</v>
      </c>
      <c r="K40" s="79">
        <f t="shared" ref="K40:K46" si="1">SUM(C40:J40)</f>
        <v>18198612</v>
      </c>
      <c r="L40" s="79">
        <f t="shared" ref="L40:L46" si="2">K40*1.19</f>
        <v>21656348.279999997</v>
      </c>
      <c r="M40" s="82"/>
      <c r="N40" s="32"/>
    </row>
    <row r="41" spans="1:16" x14ac:dyDescent="0.25">
      <c r="A41" s="30"/>
      <c r="B41" s="70" t="s">
        <v>37</v>
      </c>
      <c r="C41" s="78">
        <v>1233</v>
      </c>
      <c r="D41" s="78">
        <v>274081</v>
      </c>
      <c r="E41" s="78">
        <v>15141073</v>
      </c>
      <c r="F41" s="78" t="s">
        <v>636</v>
      </c>
      <c r="G41" s="78">
        <v>407629</v>
      </c>
      <c r="H41" s="78">
        <v>42505</v>
      </c>
      <c r="I41" s="78" t="s">
        <v>636</v>
      </c>
      <c r="J41" s="78">
        <v>2087405</v>
      </c>
      <c r="K41" s="79">
        <f t="shared" si="1"/>
        <v>17953926</v>
      </c>
      <c r="L41" s="79">
        <f t="shared" si="2"/>
        <v>21365171.939999998</v>
      </c>
      <c r="M41" s="82"/>
      <c r="N41" s="32"/>
    </row>
    <row r="42" spans="1:16" x14ac:dyDescent="0.25">
      <c r="A42" s="30"/>
      <c r="B42" s="69" t="s">
        <v>18</v>
      </c>
      <c r="C42" s="78">
        <v>1233</v>
      </c>
      <c r="D42" s="78">
        <v>321937</v>
      </c>
      <c r="E42" s="78">
        <v>17784752</v>
      </c>
      <c r="F42" s="78" t="s">
        <v>636</v>
      </c>
      <c r="G42" s="78">
        <v>407629</v>
      </c>
      <c r="H42" s="78">
        <v>42505</v>
      </c>
      <c r="I42" s="78">
        <v>315000</v>
      </c>
      <c r="J42" s="78">
        <v>2087405</v>
      </c>
      <c r="K42" s="79">
        <f t="shared" si="1"/>
        <v>20960461</v>
      </c>
      <c r="L42" s="79">
        <f t="shared" si="2"/>
        <v>24942948.59</v>
      </c>
      <c r="M42" s="82"/>
      <c r="N42" s="32"/>
    </row>
    <row r="43" spans="1:16" x14ac:dyDescent="0.25">
      <c r="A43" s="30"/>
      <c r="B43" s="70" t="s">
        <v>19</v>
      </c>
      <c r="C43" s="78">
        <v>1233</v>
      </c>
      <c r="D43" s="78">
        <v>228666</v>
      </c>
      <c r="E43" s="78">
        <v>12632206</v>
      </c>
      <c r="F43" s="78" t="s">
        <v>636</v>
      </c>
      <c r="G43" s="78">
        <v>407629</v>
      </c>
      <c r="H43" s="78">
        <v>42505</v>
      </c>
      <c r="I43" s="78" t="s">
        <v>636</v>
      </c>
      <c r="J43" s="78">
        <v>2087405</v>
      </c>
      <c r="K43" s="79">
        <f t="shared" si="1"/>
        <v>15399644</v>
      </c>
      <c r="L43" s="79">
        <f t="shared" si="2"/>
        <v>18325576.359999999</v>
      </c>
      <c r="M43" s="82"/>
      <c r="N43" s="32"/>
    </row>
    <row r="44" spans="1:16" x14ac:dyDescent="0.25">
      <c r="A44" s="30"/>
      <c r="B44" s="69" t="s">
        <v>20</v>
      </c>
      <c r="C44" s="78">
        <v>1233</v>
      </c>
      <c r="D44" s="78">
        <v>200123</v>
      </c>
      <c r="E44" s="78">
        <v>11055387</v>
      </c>
      <c r="F44" s="78" t="s">
        <v>636</v>
      </c>
      <c r="G44" s="78">
        <v>407629</v>
      </c>
      <c r="H44" s="78">
        <v>42505</v>
      </c>
      <c r="I44" s="78" t="s">
        <v>636</v>
      </c>
      <c r="J44" s="78">
        <v>2087405</v>
      </c>
      <c r="K44" s="79">
        <f t="shared" si="1"/>
        <v>13794282</v>
      </c>
      <c r="L44" s="79">
        <f t="shared" si="2"/>
        <v>16415195.58</v>
      </c>
      <c r="M44" s="82"/>
      <c r="N44" s="32"/>
    </row>
    <row r="45" spans="1:16" x14ac:dyDescent="0.25">
      <c r="A45" s="30"/>
      <c r="B45" s="70" t="s">
        <v>21</v>
      </c>
      <c r="C45" s="78">
        <v>1233</v>
      </c>
      <c r="D45" s="78">
        <v>228666</v>
      </c>
      <c r="E45" s="78">
        <v>12632206</v>
      </c>
      <c r="F45" s="78" t="s">
        <v>636</v>
      </c>
      <c r="G45" s="78">
        <v>407629</v>
      </c>
      <c r="H45" s="78">
        <v>42505</v>
      </c>
      <c r="I45" s="78" t="s">
        <v>636</v>
      </c>
      <c r="J45" s="78">
        <v>2087405</v>
      </c>
      <c r="K45" s="79">
        <f t="shared" si="1"/>
        <v>15399644</v>
      </c>
      <c r="L45" s="79">
        <f t="shared" si="2"/>
        <v>18325576.359999999</v>
      </c>
      <c r="M45" s="82"/>
      <c r="N45" s="32"/>
    </row>
    <row r="46" spans="1:16" x14ac:dyDescent="0.25">
      <c r="A46" s="30"/>
      <c r="B46" s="69" t="s">
        <v>22</v>
      </c>
      <c r="C46" s="78">
        <v>1233</v>
      </c>
      <c r="D46" s="78">
        <v>228666</v>
      </c>
      <c r="E46" s="78">
        <v>12632206</v>
      </c>
      <c r="F46" s="78" t="s">
        <v>636</v>
      </c>
      <c r="G46" s="78">
        <v>407629</v>
      </c>
      <c r="H46" s="78">
        <v>42505</v>
      </c>
      <c r="I46" s="78" t="s">
        <v>636</v>
      </c>
      <c r="J46" s="78">
        <v>2087405</v>
      </c>
      <c r="K46" s="79">
        <f t="shared" si="1"/>
        <v>15399644</v>
      </c>
      <c r="L46" s="79">
        <f t="shared" si="2"/>
        <v>18325576.359999999</v>
      </c>
      <c r="M46" s="82"/>
      <c r="N46" s="32"/>
    </row>
    <row r="47" spans="1:16" x14ac:dyDescent="0.25">
      <c r="A47" s="30"/>
      <c r="B47" s="70" t="s">
        <v>23</v>
      </c>
      <c r="C47" s="78">
        <v>1233</v>
      </c>
      <c r="D47" s="78">
        <v>228666</v>
      </c>
      <c r="E47" s="78">
        <v>12632206</v>
      </c>
      <c r="F47" s="78" t="s">
        <v>636</v>
      </c>
      <c r="G47" s="78">
        <v>407629</v>
      </c>
      <c r="H47" s="78">
        <v>42505</v>
      </c>
      <c r="I47" s="78" t="s">
        <v>636</v>
      </c>
      <c r="J47" s="78">
        <v>2087405</v>
      </c>
      <c r="K47" s="79">
        <f>SUM(C47:J47)</f>
        <v>15399644</v>
      </c>
      <c r="L47" s="79">
        <f>K47*1.19</f>
        <v>18325576.359999999</v>
      </c>
      <c r="M47" s="82"/>
      <c r="N47" s="32"/>
    </row>
    <row r="48" spans="1:16" x14ac:dyDescent="0.25">
      <c r="A48" s="30"/>
      <c r="B48" s="69" t="s">
        <v>24</v>
      </c>
      <c r="C48" s="78">
        <v>1233</v>
      </c>
      <c r="D48" s="78">
        <v>228666</v>
      </c>
      <c r="E48" s="78">
        <v>12632206</v>
      </c>
      <c r="F48" s="78" t="s">
        <v>636</v>
      </c>
      <c r="G48" s="78">
        <v>407629</v>
      </c>
      <c r="H48" s="78">
        <v>42505</v>
      </c>
      <c r="I48" s="78" t="s">
        <v>636</v>
      </c>
      <c r="J48" s="78">
        <v>2087405</v>
      </c>
      <c r="K48" s="79">
        <f>SUM(C48:J48)</f>
        <v>15399644</v>
      </c>
      <c r="L48" s="79">
        <f>K48*1.19</f>
        <v>18325576.359999999</v>
      </c>
      <c r="M48" s="82"/>
      <c r="N48" s="32"/>
    </row>
    <row r="49" spans="1:16" x14ac:dyDescent="0.25">
      <c r="A49" s="30"/>
      <c r="B49" s="70" t="s">
        <v>25</v>
      </c>
      <c r="C49" s="78">
        <v>1233</v>
      </c>
      <c r="D49" s="78">
        <v>321937</v>
      </c>
      <c r="E49" s="78">
        <v>17784752</v>
      </c>
      <c r="F49" s="78" t="s">
        <v>636</v>
      </c>
      <c r="G49" s="78">
        <v>407629</v>
      </c>
      <c r="H49" s="78">
        <v>42505</v>
      </c>
      <c r="I49" s="78" t="s">
        <v>636</v>
      </c>
      <c r="J49" s="78">
        <v>2087405</v>
      </c>
      <c r="K49" s="79">
        <f>SUM(C49:J49)</f>
        <v>20645461</v>
      </c>
      <c r="L49" s="79">
        <f>K49*1.19</f>
        <v>24568098.59</v>
      </c>
      <c r="M49" s="82"/>
      <c r="N49" s="32"/>
    </row>
    <row r="50" spans="1:16" x14ac:dyDescent="0.25">
      <c r="A50" s="30"/>
      <c r="B50" s="69" t="s">
        <v>26</v>
      </c>
      <c r="C50" s="78">
        <v>1233</v>
      </c>
      <c r="D50" s="78">
        <v>317586</v>
      </c>
      <c r="E50" s="78">
        <v>17544418</v>
      </c>
      <c r="F50" s="78" t="s">
        <v>636</v>
      </c>
      <c r="G50" s="78">
        <v>407629</v>
      </c>
      <c r="H50" s="78">
        <v>42505</v>
      </c>
      <c r="I50" s="78" t="s">
        <v>636</v>
      </c>
      <c r="J50" s="78">
        <v>2087405</v>
      </c>
      <c r="K50" s="79">
        <f>SUM(C50:J50)</f>
        <v>20400776</v>
      </c>
      <c r="L50" s="79">
        <f>K50*1.19</f>
        <v>24276923.439999998</v>
      </c>
      <c r="M50" s="82"/>
      <c r="N50" s="32"/>
    </row>
    <row r="51" spans="1:16" x14ac:dyDescent="0.25">
      <c r="A51" s="30"/>
      <c r="B51" s="70" t="s">
        <v>27</v>
      </c>
      <c r="C51" s="78">
        <v>1233</v>
      </c>
      <c r="D51" s="78">
        <v>304535</v>
      </c>
      <c r="E51" s="78">
        <v>16823415</v>
      </c>
      <c r="F51" s="78" t="s">
        <v>636</v>
      </c>
      <c r="G51" s="78">
        <v>407629</v>
      </c>
      <c r="H51" s="78">
        <v>42505</v>
      </c>
      <c r="I51" s="78" t="s">
        <v>636</v>
      </c>
      <c r="J51" s="78">
        <v>2087405</v>
      </c>
      <c r="K51" s="79">
        <f>SUM(C51:J51)</f>
        <v>19666722</v>
      </c>
      <c r="L51" s="79">
        <f>K51*1.19</f>
        <v>23403399.18</v>
      </c>
      <c r="M51" s="82"/>
      <c r="N51" s="32"/>
    </row>
    <row r="52" spans="1:16" x14ac:dyDescent="0.25">
      <c r="A52" s="30"/>
      <c r="B52" s="69" t="s">
        <v>170</v>
      </c>
      <c r="C52" s="80">
        <f t="shared" ref="C52:L52" si="3">+SUM(C40:C51)</f>
        <v>14796</v>
      </c>
      <c r="D52" s="80">
        <f t="shared" si="3"/>
        <v>3161961</v>
      </c>
      <c r="E52" s="80">
        <f t="shared" si="3"/>
        <v>174676235</v>
      </c>
      <c r="F52" s="80">
        <f t="shared" si="3"/>
        <v>0</v>
      </c>
      <c r="G52" s="80">
        <f t="shared" si="3"/>
        <v>4891548</v>
      </c>
      <c r="H52" s="80">
        <f t="shared" si="3"/>
        <v>510060</v>
      </c>
      <c r="I52" s="80">
        <f t="shared" si="3"/>
        <v>315000</v>
      </c>
      <c r="J52" s="80">
        <f t="shared" si="3"/>
        <v>25048860</v>
      </c>
      <c r="K52" s="80">
        <f t="shared" si="3"/>
        <v>208618460</v>
      </c>
      <c r="L52" s="80">
        <f t="shared" si="3"/>
        <v>248255967.40000001</v>
      </c>
      <c r="M52" s="82"/>
      <c r="N52" s="32"/>
    </row>
    <row r="53" spans="1:16" x14ac:dyDescent="0.25">
      <c r="A53" s="30"/>
      <c r="B53" s="69" t="s">
        <v>171</v>
      </c>
      <c r="C53" s="80">
        <f>C52*1.19</f>
        <v>17607.239999999998</v>
      </c>
      <c r="D53" s="80">
        <f t="shared" ref="D53:J53" si="4">D52*1.19</f>
        <v>3762733.59</v>
      </c>
      <c r="E53" s="80">
        <f t="shared" si="4"/>
        <v>207864719.64999998</v>
      </c>
      <c r="F53" s="80">
        <f t="shared" si="4"/>
        <v>0</v>
      </c>
      <c r="G53" s="80">
        <f t="shared" si="4"/>
        <v>5820942.1200000001</v>
      </c>
      <c r="H53" s="80">
        <f t="shared" si="4"/>
        <v>606971.4</v>
      </c>
      <c r="I53" s="80">
        <f t="shared" si="4"/>
        <v>374850</v>
      </c>
      <c r="J53" s="80">
        <f t="shared" si="4"/>
        <v>29808143.399999999</v>
      </c>
      <c r="K53"/>
      <c r="L53"/>
      <c r="M53" s="82"/>
      <c r="N53" s="32"/>
    </row>
    <row r="54" spans="1:16" x14ac:dyDescent="0.25">
      <c r="A54" s="30"/>
      <c r="B54" s="83"/>
      <c r="C54" s="83"/>
      <c r="D54" s="83"/>
      <c r="E54" s="83"/>
      <c r="F54" s="83"/>
      <c r="G54" s="83"/>
      <c r="H54" s="83"/>
      <c r="I54" s="83"/>
      <c r="J54" s="83"/>
      <c r="K54" s="83"/>
      <c r="L54" s="83"/>
      <c r="M54" s="82"/>
      <c r="N54" s="32"/>
    </row>
    <row r="55" spans="1:16" customFormat="1" x14ac:dyDescent="0.25">
      <c r="A55" s="93"/>
      <c r="B55" s="112" t="s">
        <v>144</v>
      </c>
      <c r="C55" s="112"/>
      <c r="D55" s="112"/>
      <c r="E55" s="112"/>
      <c r="F55" s="67"/>
      <c r="G55" s="2"/>
      <c r="H55" s="2"/>
      <c r="I55" s="2"/>
      <c r="J55" s="2"/>
      <c r="K55" s="83"/>
      <c r="L55" s="83"/>
      <c r="M55" s="82"/>
      <c r="P55" s="83"/>
    </row>
    <row r="56" spans="1:16" customFormat="1" ht="100.5" customHeight="1" x14ac:dyDescent="0.25">
      <c r="A56" s="93"/>
      <c r="B56" s="9" t="s">
        <v>86</v>
      </c>
      <c r="C56" s="9" t="s">
        <v>100</v>
      </c>
      <c r="D56" s="9" t="s">
        <v>101</v>
      </c>
      <c r="E56" s="9" t="s">
        <v>102</v>
      </c>
      <c r="F56" s="9" t="s">
        <v>103</v>
      </c>
      <c r="G56" s="10" t="s">
        <v>137</v>
      </c>
      <c r="H56" s="10" t="s">
        <v>142</v>
      </c>
      <c r="I56" s="10" t="s">
        <v>143</v>
      </c>
      <c r="J56" s="10" t="s">
        <v>146</v>
      </c>
      <c r="K56" s="10" t="s">
        <v>138</v>
      </c>
      <c r="L56" s="10" t="s">
        <v>139</v>
      </c>
      <c r="M56" s="82"/>
      <c r="P56" s="83"/>
    </row>
    <row r="57" spans="1:16" customFormat="1" x14ac:dyDescent="0.25">
      <c r="A57" s="93"/>
      <c r="B57" s="86" t="str">
        <f>CONCATENATE(LEFT($G$8,2),"2")</f>
        <v>AT2</v>
      </c>
      <c r="C57" s="72">
        <f>1045.87</f>
        <v>1045.8699999999999</v>
      </c>
      <c r="D57" s="72">
        <f>13.875</f>
        <v>13.875</v>
      </c>
      <c r="E57" s="104">
        <f>0.62</f>
        <v>0.62</v>
      </c>
      <c r="F57" s="104">
        <f>84.885</f>
        <v>84.885000000000005</v>
      </c>
      <c r="G57" s="104">
        <v>11078.05</v>
      </c>
      <c r="H57" s="105"/>
      <c r="I57" s="106"/>
      <c r="J57" s="21">
        <f ca="1">'Curva Electricidad'!$AK$11</f>
        <v>450.65</v>
      </c>
      <c r="K57" s="102"/>
      <c r="L57" s="102"/>
      <c r="M57" s="82"/>
      <c r="P57" s="83"/>
    </row>
    <row r="58" spans="1:16" customFormat="1" x14ac:dyDescent="0.25">
      <c r="A58" s="93"/>
      <c r="B58" s="86" t="str">
        <f>CONCATENATE(LEFT($G$8,2),"3")</f>
        <v>AT3</v>
      </c>
      <c r="C58" s="72">
        <f>1597.04</f>
        <v>1597.04</v>
      </c>
      <c r="D58" s="72">
        <f>D57</f>
        <v>13.875</v>
      </c>
      <c r="E58" s="72">
        <f t="shared" ref="E58:F62" si="5">E57</f>
        <v>0.62</v>
      </c>
      <c r="F58" s="72">
        <f t="shared" si="5"/>
        <v>84.885000000000005</v>
      </c>
      <c r="G58" s="72">
        <f>G57</f>
        <v>11078.05</v>
      </c>
      <c r="H58" s="87"/>
      <c r="I58" s="87"/>
      <c r="J58" s="21">
        <f ca="1">'Curva Electricidad'!$AK$11</f>
        <v>450.65</v>
      </c>
      <c r="K58" s="102"/>
      <c r="L58" s="102"/>
      <c r="M58" s="82"/>
      <c r="P58" s="83"/>
    </row>
    <row r="59" spans="1:16" customFormat="1" x14ac:dyDescent="0.25">
      <c r="A59" s="93"/>
      <c r="B59" s="86" t="str">
        <f>CONCATENATE(LEFT($G$8,2),"4.1")</f>
        <v>AT4.1</v>
      </c>
      <c r="C59" s="72">
        <f>C57</f>
        <v>1045.8699999999999</v>
      </c>
      <c r="D59" s="72">
        <f>D58</f>
        <v>13.875</v>
      </c>
      <c r="E59" s="72">
        <f t="shared" si="5"/>
        <v>0.62</v>
      </c>
      <c r="F59" s="72">
        <f t="shared" si="5"/>
        <v>84.885000000000005</v>
      </c>
      <c r="G59" s="105"/>
      <c r="H59" s="104">
        <f>2879.9</f>
        <v>2879.9</v>
      </c>
      <c r="I59" s="104">
        <f>10796.7</f>
        <v>10796.7</v>
      </c>
      <c r="J59" s="102"/>
      <c r="K59" s="21">
        <f ca="1">'Curva Electricidad'!$AL$11</f>
        <v>450.65</v>
      </c>
      <c r="L59" s="21">
        <f ca="1">'Curva Electricidad'!$AM$11</f>
        <v>406.95</v>
      </c>
      <c r="M59" s="82"/>
      <c r="P59" s="83"/>
    </row>
    <row r="60" spans="1:16" customFormat="1" x14ac:dyDescent="0.25">
      <c r="A60" s="93"/>
      <c r="B60" s="86" t="str">
        <f>CONCATENATE(LEFT($G$8,2),"4.2")</f>
        <v>AT4.2</v>
      </c>
      <c r="C60" s="72">
        <f>C58</f>
        <v>1597.04</v>
      </c>
      <c r="D60" s="72">
        <f>D59</f>
        <v>13.875</v>
      </c>
      <c r="E60" s="72">
        <f t="shared" si="5"/>
        <v>0.62</v>
      </c>
      <c r="F60" s="72">
        <f t="shared" si="5"/>
        <v>84.885000000000005</v>
      </c>
      <c r="G60" s="105"/>
      <c r="H60" s="104">
        <f>H59</f>
        <v>2879.9</v>
      </c>
      <c r="I60" s="104">
        <f>I59</f>
        <v>10796.7</v>
      </c>
      <c r="J60" s="102"/>
      <c r="K60" s="21">
        <f ca="1">'Curva Electricidad'!$AL$11</f>
        <v>450.65</v>
      </c>
      <c r="L60" s="21">
        <f ca="1">'Curva Electricidad'!$AM$11</f>
        <v>406.95</v>
      </c>
      <c r="M60" s="82"/>
      <c r="P60" s="83"/>
    </row>
    <row r="61" spans="1:16" customFormat="1" x14ac:dyDescent="0.25">
      <c r="A61" s="93"/>
      <c r="B61" s="86" t="str">
        <f>CONCATENATE(LEFT($G$8,2),"4.3")</f>
        <v>AT4.3</v>
      </c>
      <c r="C61" s="72">
        <f>1634.69</f>
        <v>1634.69</v>
      </c>
      <c r="D61" s="72">
        <f>D60</f>
        <v>13.875</v>
      </c>
      <c r="E61" s="72">
        <f t="shared" si="5"/>
        <v>0.62</v>
      </c>
      <c r="F61" s="72">
        <f t="shared" si="5"/>
        <v>84.885000000000005</v>
      </c>
      <c r="G61" s="105"/>
      <c r="H61" s="104">
        <f>H60</f>
        <v>2879.9</v>
      </c>
      <c r="I61" s="104">
        <f>I60</f>
        <v>10796.7</v>
      </c>
      <c r="J61" s="102"/>
      <c r="K61" s="21">
        <f ca="1">'Curva Electricidad'!$AL$11</f>
        <v>450.65</v>
      </c>
      <c r="L61" s="21">
        <f ca="1">'Curva Electricidad'!$AM$11</f>
        <v>406.95</v>
      </c>
      <c r="M61" s="82"/>
      <c r="P61" s="83"/>
    </row>
    <row r="62" spans="1:16" customFormat="1" x14ac:dyDescent="0.25">
      <c r="A62" s="93"/>
      <c r="B62" s="86" t="str">
        <f>CONCATENATE(LEFT($G$8,2),"5")</f>
        <v>AT5</v>
      </c>
      <c r="C62" s="72">
        <f>C61</f>
        <v>1634.69</v>
      </c>
      <c r="D62" s="72">
        <f>D61</f>
        <v>13.875</v>
      </c>
      <c r="E62" s="72">
        <f t="shared" si="5"/>
        <v>0.62</v>
      </c>
      <c r="F62" s="72">
        <f t="shared" si="5"/>
        <v>84.885000000000005</v>
      </c>
      <c r="G62" s="104">
        <f>4924.2</f>
        <v>4924.2</v>
      </c>
      <c r="H62" s="104">
        <f>H61</f>
        <v>2879.9</v>
      </c>
      <c r="I62" s="104">
        <f>5872.5</f>
        <v>5872.5</v>
      </c>
      <c r="J62" s="21">
        <f ca="1">'Curva Electricidad'!$AK$11</f>
        <v>450.65</v>
      </c>
      <c r="K62" s="21">
        <f ca="1">'Curva Electricidad'!$AL$11</f>
        <v>450.65</v>
      </c>
      <c r="L62" s="21">
        <f ca="1">'Curva Electricidad'!$AM$11</f>
        <v>406.95</v>
      </c>
      <c r="M62" s="82"/>
      <c r="P62" s="83"/>
    </row>
    <row r="63" spans="1:16" customFormat="1" x14ac:dyDescent="0.25">
      <c r="A63" s="93"/>
      <c r="B63" s="101" t="s">
        <v>129</v>
      </c>
      <c r="C63" s="100"/>
      <c r="D63" s="100"/>
      <c r="E63" s="100"/>
      <c r="F63" s="100"/>
      <c r="G63" s="107"/>
      <c r="H63" s="107"/>
      <c r="I63" s="107"/>
      <c r="J63" s="83"/>
      <c r="K63" s="83"/>
      <c r="L63" s="83"/>
      <c r="M63" s="82"/>
      <c r="P63" s="83"/>
    </row>
    <row r="64" spans="1:16" x14ac:dyDescent="0.25">
      <c r="A64" s="93"/>
      <c r="B64" s="101"/>
      <c r="C64" s="100"/>
      <c r="D64" s="100"/>
      <c r="E64" s="100"/>
      <c r="F64" s="100"/>
      <c r="G64" s="107"/>
      <c r="H64" s="107"/>
      <c r="I64" s="107"/>
      <c r="J64" s="83"/>
      <c r="K64" s="83"/>
      <c r="L64" s="83"/>
      <c r="M64" s="82"/>
    </row>
    <row r="65" spans="1:16" ht="30" customHeight="1" x14ac:dyDescent="0.25">
      <c r="A65" s="93"/>
      <c r="B65" s="400" t="s">
        <v>710</v>
      </c>
      <c r="C65" s="400"/>
      <c r="D65" s="400"/>
      <c r="E65" s="400"/>
      <c r="F65" s="400"/>
      <c r="G65" s="400"/>
      <c r="H65" s="400"/>
      <c r="I65" s="400"/>
      <c r="J65" s="400"/>
      <c r="K65" s="400"/>
      <c r="L65" s="400"/>
      <c r="M65" s="82"/>
    </row>
    <row r="66" spans="1:16" ht="101.25" customHeight="1" x14ac:dyDescent="0.25">
      <c r="A66" s="93"/>
      <c r="B66" s="397"/>
      <c r="C66" s="397"/>
      <c r="D66" s="397"/>
      <c r="E66" s="397"/>
      <c r="F66" s="397"/>
      <c r="G66" s="397"/>
      <c r="H66" s="397"/>
      <c r="I66" s="397"/>
      <c r="J66" s="397"/>
      <c r="K66" s="397"/>
      <c r="L66" s="397"/>
      <c r="M66" s="82"/>
    </row>
    <row r="67" spans="1:16" x14ac:dyDescent="0.25">
      <c r="A67" s="93"/>
      <c r="B67" s="101"/>
      <c r="C67" s="100"/>
      <c r="D67" s="100"/>
      <c r="E67" s="100"/>
      <c r="F67" s="100"/>
      <c r="G67" s="107"/>
      <c r="H67" s="107"/>
      <c r="I67" s="107"/>
      <c r="J67" s="83"/>
      <c r="K67" s="83"/>
      <c r="L67" s="83"/>
      <c r="M67" s="82"/>
    </row>
    <row r="68" spans="1:16" customFormat="1" x14ac:dyDescent="0.25">
      <c r="A68" s="93"/>
      <c r="B68" s="92" t="s">
        <v>145</v>
      </c>
      <c r="C68" s="5"/>
      <c r="D68" s="2"/>
      <c r="E68" s="2"/>
      <c r="F68" s="2"/>
      <c r="G68" s="2"/>
      <c r="H68" s="2"/>
      <c r="I68" s="2"/>
      <c r="J68" s="2"/>
      <c r="K68" s="83"/>
      <c r="L68" s="83"/>
      <c r="M68" s="82"/>
      <c r="P68" s="83"/>
    </row>
    <row r="69" spans="1:16" customFormat="1" ht="71.25" customHeight="1" x14ac:dyDescent="0.25">
      <c r="A69" s="93"/>
      <c r="B69" s="9" t="str">
        <f t="shared" ref="B69:B75" si="6">B56</f>
        <v>Tarifa</v>
      </c>
      <c r="C69" s="9" t="s">
        <v>104</v>
      </c>
      <c r="D69" s="9" t="s">
        <v>105</v>
      </c>
      <c r="E69" s="9" t="s">
        <v>106</v>
      </c>
      <c r="F69" s="9" t="s">
        <v>107</v>
      </c>
      <c r="G69" s="9" t="s">
        <v>128</v>
      </c>
      <c r="H69" s="9" t="s">
        <v>135</v>
      </c>
      <c r="I69" s="9" t="s">
        <v>136</v>
      </c>
      <c r="J69" s="9" t="s">
        <v>108</v>
      </c>
      <c r="K69" s="83"/>
      <c r="L69" s="83"/>
      <c r="M69" s="82"/>
      <c r="P69" s="83"/>
    </row>
    <row r="70" spans="1:16" customFormat="1" x14ac:dyDescent="0.25">
      <c r="A70" s="93"/>
      <c r="B70" s="86" t="str">
        <f t="shared" si="6"/>
        <v>AT2</v>
      </c>
      <c r="C70" s="87">
        <f t="shared" ref="C70:C75" si="7">C57*12</f>
        <v>12550.439999999999</v>
      </c>
      <c r="D70" s="87">
        <f t="shared" ref="D70:F75" si="8">D57*$B$12</f>
        <v>35295433.125</v>
      </c>
      <c r="E70" s="87">
        <f t="shared" si="8"/>
        <v>1577165.3</v>
      </c>
      <c r="F70" s="87">
        <f t="shared" si="8"/>
        <v>215931736.27500001</v>
      </c>
      <c r="G70" s="105">
        <f ca="1">G57*J57</f>
        <v>4992323.232499999</v>
      </c>
      <c r="H70" s="105"/>
      <c r="I70" s="105"/>
      <c r="J70" s="91">
        <f t="shared" ref="J70:J75" ca="1" si="9">SUM(C70:I70)</f>
        <v>257809208.37249997</v>
      </c>
      <c r="K70" s="83"/>
      <c r="L70" s="83"/>
      <c r="M70" s="82"/>
      <c r="P70" s="83"/>
    </row>
    <row r="71" spans="1:16" customFormat="1" x14ac:dyDescent="0.25">
      <c r="A71" s="93"/>
      <c r="B71" s="86" t="str">
        <f t="shared" si="6"/>
        <v>AT3</v>
      </c>
      <c r="C71" s="87">
        <f t="shared" si="7"/>
        <v>19164.48</v>
      </c>
      <c r="D71" s="87">
        <f t="shared" si="8"/>
        <v>35295433.125</v>
      </c>
      <c r="E71" s="87">
        <f t="shared" si="8"/>
        <v>1577165.3</v>
      </c>
      <c r="F71" s="87">
        <f t="shared" si="8"/>
        <v>215931736.27500001</v>
      </c>
      <c r="G71" s="105">
        <f ca="1">G58*J58</f>
        <v>4992323.232499999</v>
      </c>
      <c r="H71" s="105"/>
      <c r="I71" s="105"/>
      <c r="J71" s="91">
        <f t="shared" ca="1" si="9"/>
        <v>257815822.41249999</v>
      </c>
      <c r="K71" s="83"/>
      <c r="L71" s="83"/>
      <c r="M71" s="82"/>
      <c r="P71" s="83"/>
    </row>
    <row r="72" spans="1:16" customFormat="1" x14ac:dyDescent="0.25">
      <c r="A72" s="93"/>
      <c r="B72" s="86" t="str">
        <f t="shared" si="6"/>
        <v>AT4.1</v>
      </c>
      <c r="C72" s="87">
        <f t="shared" si="7"/>
        <v>12550.439999999999</v>
      </c>
      <c r="D72" s="87">
        <f t="shared" si="8"/>
        <v>35295433.125</v>
      </c>
      <c r="E72" s="87">
        <f t="shared" si="8"/>
        <v>1577165.3</v>
      </c>
      <c r="F72" s="87">
        <f t="shared" si="8"/>
        <v>215931736.27500001</v>
      </c>
      <c r="G72" s="105"/>
      <c r="H72" s="105">
        <f t="shared" ref="H72:I75" ca="1" si="10">H59*K59*12</f>
        <v>15573923.220000001</v>
      </c>
      <c r="I72" s="105">
        <f t="shared" ca="1" si="10"/>
        <v>52724604.780000001</v>
      </c>
      <c r="J72" s="91">
        <f t="shared" ca="1" si="9"/>
        <v>321115413.13999999</v>
      </c>
      <c r="K72" s="83"/>
      <c r="L72" s="83"/>
      <c r="M72" s="82"/>
      <c r="P72" s="83"/>
    </row>
    <row r="73" spans="1:16" customFormat="1" x14ac:dyDescent="0.25">
      <c r="A73" s="93"/>
      <c r="B73" s="86" t="str">
        <f t="shared" si="6"/>
        <v>AT4.2</v>
      </c>
      <c r="C73" s="87">
        <f t="shared" si="7"/>
        <v>19164.48</v>
      </c>
      <c r="D73" s="87">
        <f t="shared" si="8"/>
        <v>35295433.125</v>
      </c>
      <c r="E73" s="87">
        <f t="shared" si="8"/>
        <v>1577165.3</v>
      </c>
      <c r="F73" s="87">
        <f t="shared" si="8"/>
        <v>215931736.27500001</v>
      </c>
      <c r="G73" s="105"/>
      <c r="H73" s="105">
        <f t="shared" ca="1" si="10"/>
        <v>15573923.220000001</v>
      </c>
      <c r="I73" s="105">
        <f t="shared" ca="1" si="10"/>
        <v>52724604.780000001</v>
      </c>
      <c r="J73" s="91">
        <f t="shared" ca="1" si="9"/>
        <v>321122027.18000001</v>
      </c>
      <c r="K73" s="83"/>
      <c r="L73" s="83"/>
      <c r="M73" s="82"/>
      <c r="P73" s="83"/>
    </row>
    <row r="74" spans="1:16" customFormat="1" x14ac:dyDescent="0.25">
      <c r="A74" s="93"/>
      <c r="B74" s="86" t="str">
        <f t="shared" si="6"/>
        <v>AT4.3</v>
      </c>
      <c r="C74" s="87">
        <f t="shared" si="7"/>
        <v>19616.28</v>
      </c>
      <c r="D74" s="87">
        <f t="shared" si="8"/>
        <v>35295433.125</v>
      </c>
      <c r="E74" s="87">
        <f t="shared" si="8"/>
        <v>1577165.3</v>
      </c>
      <c r="F74" s="87">
        <f t="shared" si="8"/>
        <v>215931736.27500001</v>
      </c>
      <c r="G74" s="105"/>
      <c r="H74" s="105">
        <f t="shared" ca="1" si="10"/>
        <v>15573923.220000001</v>
      </c>
      <c r="I74" s="105">
        <f t="shared" ca="1" si="10"/>
        <v>52724604.780000001</v>
      </c>
      <c r="J74" s="91">
        <f t="shared" ca="1" si="9"/>
        <v>321122478.98000002</v>
      </c>
      <c r="K74" s="83"/>
      <c r="L74" s="83"/>
      <c r="M74" s="82"/>
      <c r="P74" s="83"/>
    </row>
    <row r="75" spans="1:16" customFormat="1" x14ac:dyDescent="0.25">
      <c r="A75" s="93"/>
      <c r="B75" s="86" t="str">
        <f t="shared" si="6"/>
        <v>AT5</v>
      </c>
      <c r="C75" s="87">
        <f t="shared" si="7"/>
        <v>19616.28</v>
      </c>
      <c r="D75" s="87">
        <f t="shared" si="8"/>
        <v>35295433.125</v>
      </c>
      <c r="E75" s="87">
        <f t="shared" si="8"/>
        <v>1577165.3</v>
      </c>
      <c r="F75" s="87">
        <f t="shared" si="8"/>
        <v>215931736.27500001</v>
      </c>
      <c r="G75" s="105">
        <f ca="1">G62*J62</f>
        <v>2219090.73</v>
      </c>
      <c r="H75" s="105">
        <f t="shared" ca="1" si="10"/>
        <v>15573923.220000001</v>
      </c>
      <c r="I75" s="105">
        <f t="shared" ca="1" si="10"/>
        <v>28677766.5</v>
      </c>
      <c r="J75" s="91">
        <f t="shared" ca="1" si="9"/>
        <v>299294731.43000001</v>
      </c>
      <c r="K75" s="83"/>
      <c r="L75" s="83"/>
      <c r="M75" s="82"/>
      <c r="P75" s="83"/>
    </row>
    <row r="76" spans="1:16" customFormat="1" ht="15.75" thickBot="1" x14ac:dyDescent="0.3">
      <c r="A76" s="115"/>
      <c r="B76" s="94"/>
      <c r="C76" s="94"/>
      <c r="D76" s="94"/>
      <c r="E76" s="94"/>
      <c r="F76" s="94"/>
      <c r="G76" s="94"/>
      <c r="H76" s="94"/>
      <c r="I76" s="94"/>
      <c r="J76" s="94"/>
      <c r="K76" s="94"/>
      <c r="L76" s="94"/>
      <c r="M76" s="95"/>
      <c r="P76" s="83"/>
    </row>
    <row r="77" spans="1:16" customFormat="1" ht="15.75" thickTop="1" x14ac:dyDescent="0.25">
      <c r="P77" s="83"/>
    </row>
    <row r="78" spans="1:16" customFormat="1" x14ac:dyDescent="0.25">
      <c r="P78" s="83"/>
    </row>
    <row r="79" spans="1:16" customFormat="1" x14ac:dyDescent="0.25">
      <c r="P79" s="83"/>
    </row>
    <row r="80" spans="1:16" customFormat="1" x14ac:dyDescent="0.25">
      <c r="P80" s="83"/>
    </row>
    <row r="81" spans="1:16" customFormat="1" x14ac:dyDescent="0.25">
      <c r="P81" s="83"/>
    </row>
    <row r="82" spans="1:16" customFormat="1" x14ac:dyDescent="0.25">
      <c r="P82" s="83"/>
    </row>
    <row r="83" spans="1:16" customFormat="1" x14ac:dyDescent="0.25">
      <c r="P83" s="83"/>
    </row>
    <row r="84" spans="1:16" customFormat="1" x14ac:dyDescent="0.25">
      <c r="P84" s="83"/>
    </row>
    <row r="85" spans="1:16" customFormat="1" x14ac:dyDescent="0.25">
      <c r="P85" s="83"/>
    </row>
    <row r="86" spans="1:16" customFormat="1" x14ac:dyDescent="0.25">
      <c r="P86" s="83"/>
    </row>
    <row r="87" spans="1:16" x14ac:dyDescent="0.25">
      <c r="A87"/>
      <c r="B87"/>
      <c r="C87"/>
      <c r="D87"/>
      <c r="E87"/>
      <c r="F87"/>
      <c r="G87"/>
      <c r="H87"/>
      <c r="I87"/>
      <c r="J87"/>
      <c r="K87"/>
      <c r="L87"/>
      <c r="M87"/>
      <c r="N87"/>
      <c r="O87"/>
    </row>
    <row r="88" spans="1:16" x14ac:dyDescent="0.25">
      <c r="A88"/>
      <c r="B88"/>
      <c r="C88"/>
      <c r="D88"/>
      <c r="E88"/>
      <c r="F88"/>
      <c r="G88"/>
      <c r="H88"/>
      <c r="I88"/>
      <c r="J88"/>
      <c r="K88"/>
      <c r="L88"/>
      <c r="M88"/>
      <c r="N88"/>
      <c r="O88"/>
    </row>
    <row r="89" spans="1:16" x14ac:dyDescent="0.25">
      <c r="A89"/>
      <c r="B89"/>
      <c r="C89"/>
      <c r="D89"/>
      <c r="E89"/>
      <c r="F89"/>
      <c r="G89"/>
      <c r="H89"/>
      <c r="I89"/>
      <c r="J89"/>
      <c r="K89"/>
      <c r="L89"/>
      <c r="M89"/>
      <c r="N89"/>
      <c r="O89"/>
    </row>
    <row r="90" spans="1:16" x14ac:dyDescent="0.25">
      <c r="A90"/>
      <c r="B90"/>
      <c r="C90"/>
      <c r="D90"/>
      <c r="E90"/>
      <c r="F90"/>
      <c r="G90"/>
      <c r="H90"/>
      <c r="I90"/>
      <c r="J90"/>
      <c r="K90"/>
      <c r="L90"/>
      <c r="M90"/>
      <c r="N90"/>
      <c r="O90"/>
    </row>
    <row r="91" spans="1:16" x14ac:dyDescent="0.25">
      <c r="A91"/>
      <c r="B91"/>
      <c r="C91"/>
      <c r="D91"/>
      <c r="E91"/>
      <c r="F91"/>
      <c r="G91"/>
      <c r="H91"/>
      <c r="I91"/>
      <c r="J91"/>
      <c r="K91"/>
      <c r="L91"/>
      <c r="M91"/>
      <c r="N91"/>
      <c r="O91"/>
    </row>
  </sheetData>
  <mergeCells count="4">
    <mergeCell ref="B66:L66"/>
    <mergeCell ref="B2:L2"/>
    <mergeCell ref="B4:L4"/>
    <mergeCell ref="B65:L65"/>
  </mergeCell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Listas!$A$2:$A$13</xm:f>
          </x14:formula1>
          <xm:sqref>G8</xm:sqref>
        </x14:dataValidation>
        <x14:dataValidation type="list" allowBlank="1" showInputMessage="1" showErrorMessage="1">
          <x14:formula1>
            <xm:f>Listas!$D$2:$D$3</xm:f>
          </x14:formula1>
          <xm:sqref>H8:I8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5"/>
  </sheetPr>
  <dimension ref="A1:N54"/>
  <sheetViews>
    <sheetView showGridLines="0" zoomScale="80" zoomScaleNormal="80" workbookViewId="0">
      <selection activeCell="G11" sqref="G11"/>
    </sheetView>
  </sheetViews>
  <sheetFormatPr baseColWidth="10" defaultRowHeight="15" x14ac:dyDescent="0.25"/>
  <cols>
    <col min="1" max="1" width="4.28515625" style="35" customWidth="1"/>
    <col min="3" max="3" width="14.7109375" customWidth="1"/>
    <col min="4" max="4" width="17.5703125" customWidth="1"/>
    <col min="6" max="6" width="14.28515625" customWidth="1"/>
    <col min="7" max="7" width="17.7109375" customWidth="1"/>
    <col min="8" max="8" width="15.5703125" customWidth="1"/>
    <col min="10" max="10" width="13" style="28" customWidth="1"/>
    <col min="12" max="12" width="15" customWidth="1"/>
    <col min="13" max="13" width="15.7109375" customWidth="1"/>
    <col min="14" max="14" width="3.5703125" customWidth="1"/>
  </cols>
  <sheetData>
    <row r="1" spans="1:14" s="35" customFormat="1" ht="16.5" thickTop="1" thickBot="1" x14ac:dyDescent="0.3">
      <c r="A1" s="24"/>
      <c r="B1" s="27"/>
      <c r="C1" s="27"/>
      <c r="D1" s="27"/>
      <c r="E1" s="27"/>
      <c r="F1" s="27"/>
      <c r="G1" s="27"/>
      <c r="H1" s="27"/>
      <c r="I1" s="27"/>
      <c r="J1" s="27"/>
      <c r="K1" s="27"/>
      <c r="L1" s="27"/>
      <c r="M1" s="27"/>
      <c r="N1" s="29"/>
    </row>
    <row r="2" spans="1:14" s="35" customFormat="1" ht="30" customHeight="1" thickBot="1" x14ac:dyDescent="0.3">
      <c r="A2" s="30"/>
      <c r="B2" s="348" t="s">
        <v>67</v>
      </c>
      <c r="C2" s="349"/>
      <c r="D2" s="349"/>
      <c r="E2" s="349"/>
      <c r="F2" s="349"/>
      <c r="G2" s="349"/>
      <c r="H2" s="349"/>
      <c r="I2" s="349"/>
      <c r="J2" s="349"/>
      <c r="K2" s="349"/>
      <c r="L2" s="349"/>
      <c r="M2" s="350"/>
      <c r="N2" s="31"/>
    </row>
    <row r="3" spans="1:14" x14ac:dyDescent="0.25">
      <c r="A3" s="30"/>
      <c r="N3" s="31"/>
    </row>
    <row r="4" spans="1:14" ht="15.75" thickBot="1" x14ac:dyDescent="0.3">
      <c r="A4" s="30"/>
      <c r="B4" s="55" t="s">
        <v>232</v>
      </c>
      <c r="C4" s="55"/>
      <c r="D4" s="55"/>
      <c r="E4" s="55"/>
      <c r="F4" s="1"/>
      <c r="G4" s="1"/>
      <c r="H4" s="1"/>
      <c r="I4" s="1"/>
      <c r="J4" s="1"/>
      <c r="K4" s="1"/>
      <c r="L4" s="1"/>
      <c r="M4" s="1"/>
      <c r="N4" s="31"/>
    </row>
    <row r="5" spans="1:14" ht="24" customHeight="1" thickBot="1" x14ac:dyDescent="0.3">
      <c r="A5" s="30"/>
      <c r="B5" s="401" t="s">
        <v>12</v>
      </c>
      <c r="C5" s="402"/>
      <c r="D5" s="406" t="s">
        <v>126</v>
      </c>
      <c r="E5" s="407"/>
      <c r="F5" s="408"/>
      <c r="H5" s="13"/>
      <c r="I5" s="13"/>
      <c r="J5" s="13"/>
      <c r="K5" s="1"/>
      <c r="L5" s="1"/>
      <c r="M5" s="1"/>
      <c r="N5" s="31"/>
    </row>
    <row r="6" spans="1:14" ht="21" customHeight="1" thickBot="1" x14ac:dyDescent="0.3">
      <c r="A6" s="30"/>
      <c r="B6" s="401" t="s">
        <v>0</v>
      </c>
      <c r="C6" s="402"/>
      <c r="D6" s="403"/>
      <c r="E6" s="404"/>
      <c r="F6" s="405"/>
      <c r="H6" s="8"/>
      <c r="I6" s="8"/>
      <c r="J6" s="8"/>
      <c r="K6" s="1"/>
      <c r="L6" s="1"/>
      <c r="M6" s="1"/>
      <c r="N6" s="31"/>
    </row>
    <row r="7" spans="1:14" s="35" customFormat="1" ht="21" customHeight="1" thickBot="1" x14ac:dyDescent="0.3">
      <c r="A7" s="30"/>
      <c r="B7" s="401" t="s">
        <v>86</v>
      </c>
      <c r="C7" s="402"/>
      <c r="D7" s="403"/>
      <c r="E7" s="404"/>
      <c r="F7" s="405"/>
      <c r="H7" s="8"/>
      <c r="I7" s="8"/>
      <c r="J7" s="8"/>
      <c r="K7" s="1"/>
      <c r="L7" s="1"/>
      <c r="M7" s="1"/>
      <c r="N7" s="31"/>
    </row>
    <row r="8" spans="1:14" x14ac:dyDescent="0.25">
      <c r="A8" s="30"/>
      <c r="B8" s="1"/>
      <c r="C8" s="1"/>
      <c r="D8" s="1"/>
      <c r="E8" s="1"/>
      <c r="F8" s="1"/>
      <c r="G8" s="18"/>
      <c r="H8" s="2"/>
      <c r="I8" s="2"/>
      <c r="J8" s="2"/>
      <c r="K8" s="1"/>
      <c r="L8" s="1"/>
      <c r="M8" s="1"/>
      <c r="N8" s="31"/>
    </row>
    <row r="9" spans="1:14" x14ac:dyDescent="0.25">
      <c r="A9" s="30"/>
      <c r="B9" s="99" t="s">
        <v>2</v>
      </c>
      <c r="C9" s="99"/>
      <c r="D9" s="99"/>
      <c r="E9" s="99"/>
      <c r="F9" s="99"/>
      <c r="G9" s="18"/>
      <c r="H9" s="1"/>
      <c r="I9" s="1"/>
      <c r="J9" s="1"/>
      <c r="K9" s="1"/>
      <c r="L9" s="1"/>
      <c r="M9" s="1"/>
      <c r="N9" s="31"/>
    </row>
    <row r="10" spans="1:14" ht="15.75" x14ac:dyDescent="0.25">
      <c r="A10" s="30"/>
      <c r="B10" s="6"/>
      <c r="C10" s="1"/>
      <c r="D10" s="1"/>
      <c r="E10" s="1"/>
      <c r="F10" s="1"/>
      <c r="G10" s="1"/>
      <c r="H10" s="1"/>
      <c r="I10" s="1"/>
      <c r="J10" s="1"/>
      <c r="K10" s="1"/>
      <c r="L10" s="1"/>
      <c r="M10" s="1"/>
      <c r="N10" s="31"/>
    </row>
    <row r="11" spans="1:14" ht="54" customHeight="1" x14ac:dyDescent="0.25">
      <c r="A11" s="30"/>
      <c r="B11" s="9" t="s">
        <v>127</v>
      </c>
      <c r="C11" s="9" t="s">
        <v>13</v>
      </c>
      <c r="D11" s="9" t="s">
        <v>228</v>
      </c>
      <c r="E11" s="19" t="s">
        <v>233</v>
      </c>
      <c r="F11" s="10" t="s">
        <v>234</v>
      </c>
      <c r="G11" s="10" t="s">
        <v>38</v>
      </c>
      <c r="H11" s="10" t="s">
        <v>229</v>
      </c>
      <c r="I11" s="10" t="s">
        <v>14</v>
      </c>
      <c r="J11" s="10" t="s">
        <v>15</v>
      </c>
      <c r="K11" s="10" t="s">
        <v>9</v>
      </c>
      <c r="L11" s="10" t="s">
        <v>10</v>
      </c>
      <c r="M11" s="10" t="s">
        <v>11</v>
      </c>
      <c r="N11" s="31"/>
    </row>
    <row r="12" spans="1:14" x14ac:dyDescent="0.25">
      <c r="A12" s="30"/>
      <c r="B12" s="140" t="s">
        <v>16</v>
      </c>
      <c r="C12" s="12">
        <v>223.2</v>
      </c>
      <c r="D12" s="135">
        <v>0.975989</v>
      </c>
      <c r="E12" s="11">
        <v>9300</v>
      </c>
      <c r="F12" s="285">
        <f t="shared" ref="F12:F23" si="0">C12*D12</f>
        <v>217.84074479999998</v>
      </c>
      <c r="G12" s="129">
        <f>+F12*E12*$D$26</f>
        <v>2356.1437116823195</v>
      </c>
      <c r="H12" s="136">
        <v>265440</v>
      </c>
      <c r="I12" s="136">
        <v>0</v>
      </c>
      <c r="J12" s="137">
        <v>0</v>
      </c>
      <c r="K12" s="78">
        <v>0</v>
      </c>
      <c r="L12" s="79">
        <f t="shared" ref="L12:L23" si="1">SUM(H12:K12)</f>
        <v>265440</v>
      </c>
      <c r="M12" s="79">
        <f>L12*1.19</f>
        <v>315873.59999999998</v>
      </c>
      <c r="N12" s="31"/>
    </row>
    <row r="13" spans="1:14" x14ac:dyDescent="0.25">
      <c r="A13" s="30"/>
      <c r="B13" s="140" t="s">
        <v>37</v>
      </c>
      <c r="C13" s="12">
        <v>223.2</v>
      </c>
      <c r="D13" s="135">
        <v>0.975989</v>
      </c>
      <c r="E13" s="11">
        <v>9300</v>
      </c>
      <c r="F13" s="285">
        <f t="shared" si="0"/>
        <v>217.84074479999998</v>
      </c>
      <c r="G13" s="129">
        <f t="shared" ref="G13:G19" si="2">+F13*E13*$D$26</f>
        <v>2356.1437116823195</v>
      </c>
      <c r="H13" s="136">
        <v>265440</v>
      </c>
      <c r="I13" s="136">
        <v>0</v>
      </c>
      <c r="J13" s="137">
        <v>0</v>
      </c>
      <c r="K13" s="78">
        <v>0</v>
      </c>
      <c r="L13" s="79">
        <f t="shared" si="1"/>
        <v>265440</v>
      </c>
      <c r="M13" s="79">
        <f t="shared" ref="M13:M23" si="3">L13*1.19</f>
        <v>315873.59999999998</v>
      </c>
      <c r="N13" s="31"/>
    </row>
    <row r="14" spans="1:14" x14ac:dyDescent="0.25">
      <c r="A14" s="30"/>
      <c r="B14" s="140" t="s">
        <v>18</v>
      </c>
      <c r="C14" s="12">
        <v>340.8</v>
      </c>
      <c r="D14" s="135">
        <v>0.975989</v>
      </c>
      <c r="E14" s="11">
        <v>9300</v>
      </c>
      <c r="F14" s="285">
        <f t="shared" si="0"/>
        <v>332.61705119999999</v>
      </c>
      <c r="G14" s="129">
        <f t="shared" si="2"/>
        <v>3597.5527640740797</v>
      </c>
      <c r="H14" s="136">
        <v>414000</v>
      </c>
      <c r="I14" s="136">
        <v>0</v>
      </c>
      <c r="J14" s="137">
        <v>0</v>
      </c>
      <c r="K14" s="78">
        <v>0</v>
      </c>
      <c r="L14" s="79">
        <f t="shared" si="1"/>
        <v>414000</v>
      </c>
      <c r="M14" s="79">
        <f t="shared" si="3"/>
        <v>492660</v>
      </c>
      <c r="N14" s="31"/>
    </row>
    <row r="15" spans="1:14" x14ac:dyDescent="0.25">
      <c r="A15" s="30"/>
      <c r="B15" s="140" t="s">
        <v>19</v>
      </c>
      <c r="C15" s="12">
        <v>340.8</v>
      </c>
      <c r="D15" s="135">
        <v>0.975989</v>
      </c>
      <c r="E15" s="11">
        <v>9300</v>
      </c>
      <c r="F15" s="285">
        <f t="shared" si="0"/>
        <v>332.61705119999999</v>
      </c>
      <c r="G15" s="129">
        <f t="shared" si="2"/>
        <v>3597.5527640740797</v>
      </c>
      <c r="H15" s="136">
        <v>414000</v>
      </c>
      <c r="I15" s="136">
        <v>0</v>
      </c>
      <c r="J15" s="137">
        <v>0</v>
      </c>
      <c r="K15" s="78">
        <v>0</v>
      </c>
      <c r="L15" s="79">
        <f t="shared" si="1"/>
        <v>414000</v>
      </c>
      <c r="M15" s="79">
        <f t="shared" si="3"/>
        <v>492660</v>
      </c>
      <c r="N15" s="31"/>
    </row>
    <row r="16" spans="1:14" x14ac:dyDescent="0.25">
      <c r="A16" s="30"/>
      <c r="B16" s="140" t="s">
        <v>20</v>
      </c>
      <c r="C16" s="12">
        <v>350.4</v>
      </c>
      <c r="D16" s="135">
        <v>0.975989</v>
      </c>
      <c r="E16" s="11">
        <v>9300</v>
      </c>
      <c r="F16" s="285">
        <f t="shared" si="0"/>
        <v>341.9865456</v>
      </c>
      <c r="G16" s="129">
        <f t="shared" si="2"/>
        <v>3698.8922785550399</v>
      </c>
      <c r="H16" s="136">
        <v>430560</v>
      </c>
      <c r="I16" s="136">
        <v>0</v>
      </c>
      <c r="J16" s="137">
        <v>0</v>
      </c>
      <c r="K16" s="78">
        <v>0</v>
      </c>
      <c r="L16" s="79">
        <f t="shared" si="1"/>
        <v>430560</v>
      </c>
      <c r="M16" s="79">
        <f t="shared" si="3"/>
        <v>512366.39999999997</v>
      </c>
      <c r="N16" s="31"/>
    </row>
    <row r="17" spans="1:14" x14ac:dyDescent="0.25">
      <c r="A17" s="30"/>
      <c r="B17" s="140" t="s">
        <v>21</v>
      </c>
      <c r="C17" s="12">
        <v>350.4</v>
      </c>
      <c r="D17" s="135">
        <v>0.975989</v>
      </c>
      <c r="E17" s="11">
        <v>9300</v>
      </c>
      <c r="F17" s="285">
        <f t="shared" si="0"/>
        <v>341.9865456</v>
      </c>
      <c r="G17" s="129">
        <f t="shared" si="2"/>
        <v>3698.8922785550399</v>
      </c>
      <c r="H17" s="136">
        <v>430560</v>
      </c>
      <c r="I17" s="136">
        <v>0</v>
      </c>
      <c r="J17" s="137">
        <v>0</v>
      </c>
      <c r="K17" s="78">
        <v>0</v>
      </c>
      <c r="L17" s="79">
        <f t="shared" si="1"/>
        <v>430560</v>
      </c>
      <c r="M17" s="79">
        <f t="shared" si="3"/>
        <v>512366.39999999997</v>
      </c>
      <c r="N17" s="31"/>
    </row>
    <row r="18" spans="1:14" x14ac:dyDescent="0.25">
      <c r="A18" s="30"/>
      <c r="B18" s="140" t="s">
        <v>22</v>
      </c>
      <c r="C18" s="12">
        <v>585.6</v>
      </c>
      <c r="D18" s="135">
        <v>0.975989</v>
      </c>
      <c r="E18" s="11">
        <v>9300</v>
      </c>
      <c r="F18" s="285">
        <f t="shared" si="0"/>
        <v>571.53915840000002</v>
      </c>
      <c r="G18" s="129">
        <f t="shared" si="2"/>
        <v>6181.71038333856</v>
      </c>
      <c r="H18" s="136">
        <v>702960</v>
      </c>
      <c r="I18" s="136">
        <v>0</v>
      </c>
      <c r="J18" s="137">
        <v>0</v>
      </c>
      <c r="K18" s="78">
        <v>0</v>
      </c>
      <c r="L18" s="79">
        <f t="shared" si="1"/>
        <v>702960</v>
      </c>
      <c r="M18" s="79">
        <f t="shared" si="3"/>
        <v>836522.39999999991</v>
      </c>
      <c r="N18" s="31"/>
    </row>
    <row r="19" spans="1:14" x14ac:dyDescent="0.25">
      <c r="A19" s="30"/>
      <c r="B19" s="140" t="s">
        <v>23</v>
      </c>
      <c r="C19" s="134">
        <v>585.6</v>
      </c>
      <c r="D19" s="135">
        <v>0.975989</v>
      </c>
      <c r="E19" s="11">
        <v>9300</v>
      </c>
      <c r="F19" s="285">
        <f t="shared" si="0"/>
        <v>571.53915840000002</v>
      </c>
      <c r="G19" s="129">
        <f t="shared" si="2"/>
        <v>6181.71038333856</v>
      </c>
      <c r="H19" s="136">
        <v>702960</v>
      </c>
      <c r="I19" s="136">
        <v>0</v>
      </c>
      <c r="J19" s="137">
        <v>0</v>
      </c>
      <c r="K19" s="78">
        <v>0</v>
      </c>
      <c r="L19" s="79">
        <f t="shared" si="1"/>
        <v>702960</v>
      </c>
      <c r="M19" s="79">
        <f t="shared" si="3"/>
        <v>836522.39999999991</v>
      </c>
      <c r="N19" s="31"/>
    </row>
    <row r="20" spans="1:14" x14ac:dyDescent="0.25">
      <c r="A20" s="30"/>
      <c r="B20" s="140" t="s">
        <v>24</v>
      </c>
      <c r="C20" s="134">
        <v>460.8</v>
      </c>
      <c r="D20" s="135">
        <v>0.975989</v>
      </c>
      <c r="E20" s="11">
        <v>9300</v>
      </c>
      <c r="F20" s="285">
        <f>C20*D20</f>
        <v>449.73573120000003</v>
      </c>
      <c r="G20" s="129">
        <f>+F20*E20*$D$26</f>
        <v>4864.29669508608</v>
      </c>
      <c r="H20" s="136">
        <v>555120</v>
      </c>
      <c r="I20" s="136">
        <v>0</v>
      </c>
      <c r="J20" s="137">
        <v>0</v>
      </c>
      <c r="K20" s="78">
        <v>0</v>
      </c>
      <c r="L20" s="79">
        <f>5858/1.19</f>
        <v>4922.6890756302528</v>
      </c>
      <c r="M20" s="79">
        <f t="shared" si="3"/>
        <v>5858.0000000000009</v>
      </c>
      <c r="N20" s="31"/>
    </row>
    <row r="21" spans="1:14" x14ac:dyDescent="0.25">
      <c r="A21" s="30"/>
      <c r="B21" s="140" t="s">
        <v>25</v>
      </c>
      <c r="C21" s="134">
        <v>460.8</v>
      </c>
      <c r="D21" s="135">
        <v>0.975989</v>
      </c>
      <c r="E21" s="11">
        <v>9300</v>
      </c>
      <c r="F21" s="285">
        <f t="shared" si="0"/>
        <v>449.73573120000003</v>
      </c>
      <c r="G21" s="129">
        <f>+F21*E21*$D$26</f>
        <v>4864.29669508608</v>
      </c>
      <c r="H21" s="136">
        <v>555120</v>
      </c>
      <c r="I21" s="136">
        <v>0</v>
      </c>
      <c r="J21" s="137">
        <v>0</v>
      </c>
      <c r="K21" s="78">
        <v>0</v>
      </c>
      <c r="L21" s="79">
        <f t="shared" si="1"/>
        <v>555120</v>
      </c>
      <c r="M21" s="79">
        <f t="shared" si="3"/>
        <v>660592.79999999993</v>
      </c>
      <c r="N21" s="31"/>
    </row>
    <row r="22" spans="1:14" x14ac:dyDescent="0.25">
      <c r="A22" s="30"/>
      <c r="B22" s="140" t="s">
        <v>26</v>
      </c>
      <c r="C22" s="134">
        <v>338.4</v>
      </c>
      <c r="D22" s="135">
        <v>0.975989</v>
      </c>
      <c r="E22" s="11">
        <v>9300</v>
      </c>
      <c r="F22" s="285">
        <f t="shared" si="0"/>
        <v>330.27467759999996</v>
      </c>
      <c r="G22" s="129">
        <f>+F22*E22*$D$26</f>
        <v>3572.2178854538397</v>
      </c>
      <c r="H22" s="136">
        <v>405840</v>
      </c>
      <c r="I22" s="136">
        <v>0</v>
      </c>
      <c r="J22" s="137">
        <v>0</v>
      </c>
      <c r="K22" s="78">
        <v>0</v>
      </c>
      <c r="L22" s="79">
        <f t="shared" si="1"/>
        <v>405840</v>
      </c>
      <c r="M22" s="79">
        <f t="shared" si="3"/>
        <v>482949.6</v>
      </c>
      <c r="N22" s="31"/>
    </row>
    <row r="23" spans="1:14" x14ac:dyDescent="0.25">
      <c r="A23" s="30"/>
      <c r="B23" s="140" t="s">
        <v>27</v>
      </c>
      <c r="C23" s="134">
        <v>338.4</v>
      </c>
      <c r="D23" s="135">
        <v>0.975989</v>
      </c>
      <c r="E23" s="11">
        <v>9300</v>
      </c>
      <c r="F23" s="285">
        <f t="shared" si="0"/>
        <v>330.27467759999996</v>
      </c>
      <c r="G23" s="129">
        <f>+F23*E23*$D$26</f>
        <v>3572.2178854538397</v>
      </c>
      <c r="H23" s="136">
        <v>405840</v>
      </c>
      <c r="I23" s="136">
        <v>0</v>
      </c>
      <c r="J23" s="137">
        <v>0</v>
      </c>
      <c r="K23" s="78">
        <v>0</v>
      </c>
      <c r="L23" s="79">
        <f t="shared" si="1"/>
        <v>405840</v>
      </c>
      <c r="M23" s="79">
        <f t="shared" si="3"/>
        <v>482949.6</v>
      </c>
      <c r="N23" s="31"/>
    </row>
    <row r="24" spans="1:14" x14ac:dyDescent="0.25">
      <c r="A24" s="30"/>
      <c r="C24" s="98">
        <f>+SUM(C12:C23)</f>
        <v>4598.3999999999996</v>
      </c>
      <c r="F24" s="138">
        <f t="shared" ref="F24:M24" si="4">+SUM(F12:F23)</f>
        <v>4487.9878176000002</v>
      </c>
      <c r="G24" s="139">
        <f t="shared" si="4"/>
        <v>48541.627436379829</v>
      </c>
      <c r="H24" s="79">
        <f t="shared" si="4"/>
        <v>5547840</v>
      </c>
      <c r="I24" s="79">
        <f t="shared" si="4"/>
        <v>0</v>
      </c>
      <c r="J24" s="79">
        <f t="shared" si="4"/>
        <v>0</v>
      </c>
      <c r="K24" s="79">
        <f t="shared" si="4"/>
        <v>0</v>
      </c>
      <c r="L24" s="79">
        <f t="shared" si="4"/>
        <v>4997642.6890756302</v>
      </c>
      <c r="M24" s="79">
        <f t="shared" si="4"/>
        <v>5947194.7999999989</v>
      </c>
      <c r="N24" s="31"/>
    </row>
    <row r="25" spans="1:14" x14ac:dyDescent="0.25">
      <c r="A25" s="30"/>
      <c r="B25" s="3"/>
      <c r="C25" s="3"/>
      <c r="D25" s="3"/>
      <c r="E25" s="1"/>
      <c r="F25" s="1"/>
      <c r="G25" s="1"/>
      <c r="H25" s="1"/>
      <c r="I25" s="1"/>
      <c r="J25" s="1"/>
      <c r="K25" s="1"/>
      <c r="L25" s="1"/>
      <c r="M25" s="1"/>
      <c r="N25" s="31"/>
    </row>
    <row r="26" spans="1:14" x14ac:dyDescent="0.25">
      <c r="A26" s="30"/>
      <c r="B26" s="5"/>
      <c r="C26" s="141" t="s">
        <v>231</v>
      </c>
      <c r="D26" s="142">
        <f>Listas!I13</f>
        <v>1.163E-3</v>
      </c>
      <c r="E26" s="143" t="s">
        <v>230</v>
      </c>
      <c r="F26" s="34"/>
      <c r="G26" s="2"/>
      <c r="H26" s="2"/>
      <c r="I26" s="2"/>
      <c r="J26" s="2"/>
      <c r="K26" s="187"/>
      <c r="L26" s="185" t="s">
        <v>369</v>
      </c>
      <c r="M26" s="186">
        <f>M24/G24</f>
        <v>122.51741678407008</v>
      </c>
      <c r="N26" s="31"/>
    </row>
    <row r="27" spans="1:14" ht="15.75" thickBot="1" x14ac:dyDescent="0.3">
      <c r="A27" s="48"/>
      <c r="B27" s="49"/>
      <c r="C27" s="49"/>
      <c r="D27" s="49"/>
      <c r="E27" s="49"/>
      <c r="F27" s="49"/>
      <c r="G27" s="49"/>
      <c r="H27" s="49"/>
      <c r="I27" s="49"/>
      <c r="J27" s="49"/>
      <c r="K27" s="49"/>
      <c r="L27" s="49"/>
      <c r="M27" s="49"/>
      <c r="N27" s="50"/>
    </row>
    <row r="28" spans="1:14" ht="15.75" thickTop="1" x14ac:dyDescent="0.25">
      <c r="B28" s="2"/>
      <c r="C28" s="1"/>
      <c r="D28" s="1"/>
      <c r="E28" s="1"/>
      <c r="F28" s="14"/>
      <c r="G28" s="15"/>
      <c r="H28" s="15"/>
      <c r="I28" s="15"/>
      <c r="J28" s="15"/>
      <c r="K28" s="2"/>
      <c r="L28" s="1"/>
      <c r="N28" s="32"/>
    </row>
    <row r="29" spans="1:14" x14ac:dyDescent="0.25">
      <c r="A29" s="32"/>
      <c r="B29" s="2"/>
      <c r="C29" s="1"/>
      <c r="D29" s="1"/>
      <c r="E29" s="1"/>
      <c r="F29" s="14"/>
      <c r="G29" s="15"/>
      <c r="H29" s="15"/>
      <c r="I29" s="15"/>
      <c r="J29" s="15"/>
      <c r="K29" s="2"/>
      <c r="L29" s="1"/>
      <c r="N29" s="35"/>
    </row>
    <row r="30" spans="1:14" x14ac:dyDescent="0.25">
      <c r="B30" s="2"/>
      <c r="C30" s="1"/>
      <c r="D30" s="1"/>
      <c r="E30" s="1"/>
      <c r="F30" s="14"/>
      <c r="G30" s="15"/>
      <c r="H30" s="15"/>
      <c r="I30" s="15"/>
      <c r="J30" s="15"/>
      <c r="K30" s="2"/>
      <c r="L30" s="1"/>
    </row>
    <row r="31" spans="1:14" x14ac:dyDescent="0.25">
      <c r="B31" s="2"/>
      <c r="C31" s="1"/>
      <c r="D31" s="1"/>
      <c r="E31" s="1"/>
      <c r="F31" s="14"/>
      <c r="G31" s="15"/>
      <c r="H31" s="15"/>
      <c r="I31" s="15"/>
      <c r="J31" s="15"/>
      <c r="K31" s="2"/>
      <c r="L31" s="1"/>
    </row>
    <row r="32" spans="1:14" x14ac:dyDescent="0.25">
      <c r="B32" s="2"/>
      <c r="C32" s="1"/>
      <c r="D32" s="1"/>
      <c r="E32" s="1"/>
      <c r="F32" s="14"/>
      <c r="G32" s="15"/>
      <c r="H32" s="15"/>
      <c r="I32" s="15"/>
      <c r="J32" s="15"/>
      <c r="K32" s="2"/>
      <c r="L32" s="1"/>
    </row>
    <row r="33" spans="2:12" x14ac:dyDescent="0.25">
      <c r="B33" s="2"/>
      <c r="C33" s="1"/>
      <c r="D33" s="1"/>
      <c r="E33" s="1"/>
      <c r="F33" s="16"/>
      <c r="G33" s="16"/>
      <c r="H33" s="16"/>
      <c r="I33" s="16"/>
      <c r="J33" s="16"/>
      <c r="K33" s="2"/>
      <c r="L33" s="1"/>
    </row>
    <row r="34" spans="2:12" x14ac:dyDescent="0.25">
      <c r="B34" s="2"/>
      <c r="C34" s="1"/>
      <c r="D34" s="1"/>
      <c r="E34" s="1"/>
      <c r="F34" s="2"/>
      <c r="G34" s="2"/>
      <c r="H34" s="2"/>
      <c r="I34" s="2"/>
      <c r="J34" s="2"/>
      <c r="K34" s="2"/>
      <c r="L34" s="1"/>
    </row>
    <row r="42" spans="2:12" x14ac:dyDescent="0.25">
      <c r="D42" s="1"/>
      <c r="E42" s="1"/>
      <c r="F42" s="5"/>
      <c r="G42" s="5"/>
      <c r="H42" s="5"/>
      <c r="I42" s="5"/>
      <c r="J42" s="5"/>
      <c r="K42" s="5"/>
      <c r="L42" s="5"/>
    </row>
    <row r="43" spans="2:12" x14ac:dyDescent="0.25">
      <c r="D43" s="1"/>
      <c r="E43" s="1"/>
      <c r="F43" s="5"/>
      <c r="G43" s="5"/>
      <c r="H43" s="5"/>
      <c r="I43" s="5"/>
      <c r="J43" s="5"/>
      <c r="K43" s="5"/>
      <c r="L43" s="5"/>
    </row>
    <row r="44" spans="2:12" x14ac:dyDescent="0.25">
      <c r="D44" s="1"/>
      <c r="E44" s="1"/>
      <c r="F44" s="5"/>
      <c r="G44" s="5"/>
      <c r="H44" s="7"/>
      <c r="I44" s="5"/>
      <c r="J44" s="5"/>
      <c r="K44" s="5"/>
      <c r="L44" s="5"/>
    </row>
    <row r="45" spans="2:12" x14ac:dyDescent="0.25">
      <c r="D45" s="1"/>
      <c r="E45" s="1"/>
      <c r="F45" s="7"/>
      <c r="G45" s="5"/>
      <c r="H45" s="5"/>
      <c r="I45" s="5"/>
      <c r="J45" s="5"/>
      <c r="K45" s="5"/>
      <c r="L45" s="5"/>
    </row>
    <row r="46" spans="2:12" x14ac:dyDescent="0.25">
      <c r="D46" s="1"/>
      <c r="E46" s="1"/>
      <c r="F46" s="7"/>
      <c r="G46" s="5"/>
      <c r="H46" s="5"/>
      <c r="I46" s="5"/>
      <c r="J46" s="5"/>
      <c r="K46" s="5"/>
      <c r="L46" s="5"/>
    </row>
    <row r="47" spans="2:12" x14ac:dyDescent="0.25">
      <c r="D47" s="5"/>
      <c r="E47" s="5"/>
      <c r="F47" s="7"/>
      <c r="G47" s="5"/>
      <c r="H47" s="17"/>
      <c r="I47" s="7"/>
      <c r="J47" s="7"/>
      <c r="K47" s="5"/>
      <c r="L47" s="5"/>
    </row>
    <row r="48" spans="2:12" x14ac:dyDescent="0.25">
      <c r="D48" s="5"/>
      <c r="E48" s="5"/>
      <c r="F48" s="7"/>
      <c r="G48" s="5"/>
      <c r="H48" s="17"/>
      <c r="I48" s="7"/>
      <c r="J48" s="7"/>
      <c r="K48" s="5"/>
      <c r="L48" s="5"/>
    </row>
    <row r="49" spans="4:12" x14ac:dyDescent="0.25">
      <c r="D49" s="5"/>
      <c r="E49" s="5"/>
      <c r="F49" s="7"/>
      <c r="G49" s="5"/>
      <c r="H49" s="17"/>
      <c r="I49" s="5"/>
      <c r="J49" s="5"/>
      <c r="K49" s="5"/>
      <c r="L49" s="5"/>
    </row>
    <row r="50" spans="4:12" x14ac:dyDescent="0.25">
      <c r="D50" s="5"/>
      <c r="E50" s="5"/>
      <c r="F50" s="7"/>
      <c r="G50" s="5"/>
      <c r="H50" s="17"/>
      <c r="I50" s="5"/>
      <c r="J50" s="5"/>
      <c r="K50" s="5"/>
      <c r="L50" s="5"/>
    </row>
    <row r="51" spans="4:12" x14ac:dyDescent="0.25">
      <c r="D51" s="5"/>
      <c r="E51" s="5"/>
      <c r="F51" s="5"/>
      <c r="G51" s="5"/>
      <c r="H51" s="5"/>
      <c r="I51" s="5"/>
      <c r="J51" s="5"/>
      <c r="K51" s="5"/>
      <c r="L51" s="5"/>
    </row>
    <row r="52" spans="4:12" x14ac:dyDescent="0.25">
      <c r="D52" s="5"/>
      <c r="E52" s="5"/>
      <c r="F52" s="5"/>
      <c r="G52" s="5"/>
      <c r="H52" s="5"/>
      <c r="I52" s="5"/>
      <c r="J52" s="5"/>
      <c r="K52" s="5"/>
      <c r="L52" s="5"/>
    </row>
    <row r="53" spans="4:12" x14ac:dyDescent="0.25">
      <c r="D53" s="5"/>
      <c r="E53" s="5"/>
      <c r="F53" s="5"/>
      <c r="G53" s="5"/>
      <c r="H53" s="5"/>
      <c r="I53" s="5"/>
      <c r="J53" s="5"/>
      <c r="K53" s="5"/>
      <c r="L53" s="5"/>
    </row>
    <row r="54" spans="4:12" x14ac:dyDescent="0.25">
      <c r="D54" s="5"/>
      <c r="E54" s="5"/>
      <c r="F54" s="5"/>
      <c r="G54" s="5"/>
      <c r="H54" s="5"/>
      <c r="I54" s="5"/>
      <c r="J54" s="5"/>
      <c r="K54" s="5"/>
      <c r="L54" s="5"/>
    </row>
  </sheetData>
  <mergeCells count="7">
    <mergeCell ref="B7:C7"/>
    <mergeCell ref="D7:F7"/>
    <mergeCell ref="B2:M2"/>
    <mergeCell ref="B5:C5"/>
    <mergeCell ref="B6:C6"/>
    <mergeCell ref="D5:F5"/>
    <mergeCell ref="D6:F6"/>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5"/>
  </sheetPr>
  <dimension ref="A1:R27"/>
  <sheetViews>
    <sheetView showGridLines="0" zoomScaleNormal="100" workbookViewId="0">
      <selection activeCell="G11" sqref="G11"/>
    </sheetView>
  </sheetViews>
  <sheetFormatPr baseColWidth="10" defaultRowHeight="15" x14ac:dyDescent="0.25"/>
  <cols>
    <col min="1" max="1" width="4.140625" customWidth="1"/>
    <col min="2" max="2" width="15.5703125" customWidth="1"/>
    <col min="3" max="3" width="13.5703125" customWidth="1"/>
    <col min="4" max="4" width="24.42578125" customWidth="1"/>
    <col min="5" max="5" width="19.28515625" customWidth="1"/>
    <col min="6" max="6" width="3.42578125" customWidth="1"/>
  </cols>
  <sheetData>
    <row r="1" spans="1:18" s="35" customFormat="1" ht="16.5" thickTop="1" thickBot="1" x14ac:dyDescent="0.3">
      <c r="A1" s="24"/>
      <c r="B1" s="27"/>
      <c r="C1" s="27"/>
      <c r="D1" s="27"/>
      <c r="E1" s="27"/>
      <c r="F1" s="29"/>
    </row>
    <row r="2" spans="1:18" s="35" customFormat="1" ht="15.75" customHeight="1" thickBot="1" x14ac:dyDescent="0.3">
      <c r="A2" s="30"/>
      <c r="B2" s="348" t="s">
        <v>68</v>
      </c>
      <c r="C2" s="349"/>
      <c r="D2" s="349"/>
      <c r="E2" s="350"/>
      <c r="F2" s="31"/>
    </row>
    <row r="3" spans="1:18" x14ac:dyDescent="0.25">
      <c r="A3" s="30"/>
      <c r="B3" s="36"/>
      <c r="C3" s="36"/>
      <c r="D3" s="36"/>
      <c r="E3" s="36"/>
      <c r="F3" s="31"/>
      <c r="G3" s="35"/>
      <c r="H3" s="35"/>
      <c r="I3" s="35"/>
      <c r="J3" s="35"/>
      <c r="K3" s="35"/>
      <c r="L3" s="35"/>
      <c r="M3" s="35"/>
      <c r="N3" s="35"/>
      <c r="O3" s="35"/>
      <c r="P3" s="35"/>
      <c r="Q3" s="35"/>
      <c r="R3" s="35"/>
    </row>
    <row r="4" spans="1:18" ht="15.75" thickBot="1" x14ac:dyDescent="0.3">
      <c r="A4" s="30"/>
      <c r="B4" s="413" t="s">
        <v>65</v>
      </c>
      <c r="C4" s="413"/>
      <c r="D4" s="56"/>
      <c r="E4" s="57"/>
      <c r="F4" s="31"/>
    </row>
    <row r="5" spans="1:18" ht="23.25" customHeight="1" thickBot="1" x14ac:dyDescent="0.3">
      <c r="A5" s="30"/>
      <c r="B5" s="409" t="s">
        <v>12</v>
      </c>
      <c r="C5" s="410"/>
      <c r="D5" s="411"/>
      <c r="E5" s="412"/>
      <c r="F5" s="31"/>
    </row>
    <row r="6" spans="1:18" ht="18" customHeight="1" x14ac:dyDescent="0.25">
      <c r="A6" s="30"/>
      <c r="B6" s="36"/>
      <c r="C6" s="58"/>
      <c r="D6" s="56"/>
      <c r="E6" s="59"/>
      <c r="F6" s="31"/>
    </row>
    <row r="7" spans="1:18" x14ac:dyDescent="0.25">
      <c r="A7" s="30"/>
      <c r="B7" s="413" t="s">
        <v>2</v>
      </c>
      <c r="C7" s="413"/>
      <c r="D7" s="56"/>
      <c r="E7" s="56"/>
      <c r="F7" s="31"/>
    </row>
    <row r="8" spans="1:18" ht="40.5" customHeight="1" x14ac:dyDescent="0.25">
      <c r="A8" s="30"/>
      <c r="B8" s="60" t="s">
        <v>3</v>
      </c>
      <c r="C8" s="60" t="s">
        <v>29</v>
      </c>
      <c r="D8" s="61" t="s">
        <v>30</v>
      </c>
      <c r="E8" s="61" t="s">
        <v>11</v>
      </c>
      <c r="F8" s="31"/>
      <c r="H8" s="166"/>
      <c r="I8" s="166"/>
      <c r="J8" s="166"/>
    </row>
    <row r="9" spans="1:18" x14ac:dyDescent="0.25">
      <c r="A9" s="30"/>
      <c r="B9" s="62" t="s">
        <v>16</v>
      </c>
      <c r="C9" s="63">
        <v>375</v>
      </c>
      <c r="D9" s="180">
        <f>+C9*$C$24</f>
        <v>2898.75</v>
      </c>
      <c r="E9" s="147">
        <v>251625</v>
      </c>
      <c r="F9" s="31"/>
      <c r="G9" s="286"/>
      <c r="H9" s="286"/>
      <c r="I9" s="286"/>
      <c r="J9" s="287"/>
    </row>
    <row r="10" spans="1:18" x14ac:dyDescent="0.25">
      <c r="A10" s="30"/>
      <c r="B10" s="62" t="s">
        <v>17</v>
      </c>
      <c r="C10" s="63">
        <v>450</v>
      </c>
      <c r="D10" s="180">
        <f t="shared" ref="D10:D20" si="0">+C10*$C$24</f>
        <v>3478.5</v>
      </c>
      <c r="E10" s="147">
        <v>301950</v>
      </c>
      <c r="F10" s="31"/>
      <c r="H10" s="286"/>
      <c r="I10" s="286"/>
      <c r="J10" s="287"/>
    </row>
    <row r="11" spans="1:18" x14ac:dyDescent="0.25">
      <c r="A11" s="30"/>
      <c r="B11" s="62" t="s">
        <v>18</v>
      </c>
      <c r="C11" s="63">
        <v>525</v>
      </c>
      <c r="D11" s="180">
        <f t="shared" si="0"/>
        <v>4058.25</v>
      </c>
      <c r="E11" s="147">
        <v>352275</v>
      </c>
      <c r="F11" s="31"/>
      <c r="H11" s="286"/>
      <c r="I11" s="286"/>
      <c r="J11" s="287"/>
    </row>
    <row r="12" spans="1:18" x14ac:dyDescent="0.25">
      <c r="A12" s="30"/>
      <c r="B12" s="62" t="s">
        <v>19</v>
      </c>
      <c r="C12" s="63">
        <v>600</v>
      </c>
      <c r="D12" s="180">
        <f t="shared" si="0"/>
        <v>4638</v>
      </c>
      <c r="E12" s="147">
        <v>402600</v>
      </c>
      <c r="F12" s="31"/>
      <c r="H12" s="286"/>
      <c r="I12" s="286"/>
      <c r="J12" s="287"/>
    </row>
    <row r="13" spans="1:18" x14ac:dyDescent="0.25">
      <c r="A13" s="30"/>
      <c r="B13" s="62" t="s">
        <v>20</v>
      </c>
      <c r="C13" s="63">
        <v>525</v>
      </c>
      <c r="D13" s="180">
        <f t="shared" si="0"/>
        <v>4058.25</v>
      </c>
      <c r="E13" s="147">
        <v>352275</v>
      </c>
      <c r="F13" s="31"/>
      <c r="H13" s="286"/>
      <c r="I13" s="286"/>
      <c r="J13" s="287"/>
    </row>
    <row r="14" spans="1:18" x14ac:dyDescent="0.25">
      <c r="A14" s="30"/>
      <c r="B14" s="62" t="s">
        <v>21</v>
      </c>
      <c r="C14" s="63">
        <v>450</v>
      </c>
      <c r="D14" s="180">
        <f t="shared" si="0"/>
        <v>3478.5</v>
      </c>
      <c r="E14" s="147">
        <v>301950</v>
      </c>
      <c r="F14" s="31"/>
      <c r="H14" s="286"/>
      <c r="I14" s="286"/>
      <c r="J14" s="287"/>
    </row>
    <row r="15" spans="1:18" x14ac:dyDescent="0.25">
      <c r="A15" s="30"/>
      <c r="B15" s="62" t="s">
        <v>22</v>
      </c>
      <c r="C15" s="63">
        <v>375</v>
      </c>
      <c r="D15" s="180">
        <f t="shared" si="0"/>
        <v>2898.75</v>
      </c>
      <c r="E15" s="147">
        <v>251625</v>
      </c>
      <c r="F15" s="31"/>
      <c r="H15" s="286"/>
      <c r="I15" s="286"/>
      <c r="J15" s="287"/>
    </row>
    <row r="16" spans="1:18" x14ac:dyDescent="0.25">
      <c r="A16" s="30"/>
      <c r="B16" s="62" t="s">
        <v>23</v>
      </c>
      <c r="C16" s="63">
        <v>300</v>
      </c>
      <c r="D16" s="180">
        <f t="shared" si="0"/>
        <v>2319</v>
      </c>
      <c r="E16" s="147">
        <v>201300</v>
      </c>
      <c r="F16" s="31"/>
      <c r="H16" s="286"/>
      <c r="I16" s="286"/>
      <c r="J16" s="287"/>
    </row>
    <row r="17" spans="1:10" x14ac:dyDescent="0.25">
      <c r="A17" s="30"/>
      <c r="B17" s="62" t="s">
        <v>24</v>
      </c>
      <c r="C17" s="63">
        <v>225</v>
      </c>
      <c r="D17" s="180">
        <f t="shared" si="0"/>
        <v>1739.25</v>
      </c>
      <c r="E17" s="147">
        <v>150975</v>
      </c>
      <c r="F17" s="31"/>
      <c r="H17" s="286"/>
      <c r="I17" s="286"/>
      <c r="J17" s="287"/>
    </row>
    <row r="18" spans="1:10" x14ac:dyDescent="0.25">
      <c r="A18" s="30"/>
      <c r="B18" s="62" t="s">
        <v>25</v>
      </c>
      <c r="C18" s="63">
        <v>150</v>
      </c>
      <c r="D18" s="180">
        <f t="shared" si="0"/>
        <v>1159.5</v>
      </c>
      <c r="E18" s="147">
        <v>100650</v>
      </c>
      <c r="F18" s="31"/>
      <c r="H18" s="286"/>
      <c r="I18" s="286"/>
      <c r="J18" s="287"/>
    </row>
    <row r="19" spans="1:10" x14ac:dyDescent="0.25">
      <c r="A19" s="30"/>
      <c r="B19" s="62" t="s">
        <v>26</v>
      </c>
      <c r="C19" s="63">
        <v>225</v>
      </c>
      <c r="D19" s="180">
        <f t="shared" si="0"/>
        <v>1739.25</v>
      </c>
      <c r="E19" s="147">
        <v>150975</v>
      </c>
      <c r="F19" s="31"/>
      <c r="H19" s="286"/>
      <c r="I19" s="286"/>
      <c r="J19" s="287"/>
    </row>
    <row r="20" spans="1:10" x14ac:dyDescent="0.25">
      <c r="A20" s="30"/>
      <c r="B20" s="62" t="s">
        <v>27</v>
      </c>
      <c r="C20" s="63">
        <v>300</v>
      </c>
      <c r="D20" s="180">
        <f t="shared" si="0"/>
        <v>2319</v>
      </c>
      <c r="E20" s="147">
        <v>201300</v>
      </c>
      <c r="F20" s="31"/>
      <c r="H20" s="286"/>
      <c r="I20" s="286"/>
      <c r="J20" s="287"/>
    </row>
    <row r="21" spans="1:10" x14ac:dyDescent="0.25">
      <c r="A21" s="30"/>
      <c r="B21" s="146" t="s">
        <v>28</v>
      </c>
      <c r="C21" s="144">
        <f>+SUM(C9:C20)</f>
        <v>4500</v>
      </c>
      <c r="D21" s="145">
        <f>+SUM(D9:D20)</f>
        <v>34785</v>
      </c>
      <c r="E21" s="148">
        <f>+SUM(E9:E20)</f>
        <v>3019500</v>
      </c>
      <c r="F21" s="31"/>
    </row>
    <row r="22" spans="1:10" x14ac:dyDescent="0.25">
      <c r="A22" s="30"/>
      <c r="B22" s="64"/>
      <c r="C22" s="56"/>
      <c r="D22" s="185" t="s">
        <v>369</v>
      </c>
      <c r="E22" s="186">
        <f>E21/D21</f>
        <v>86.804657179818889</v>
      </c>
      <c r="F22" s="31"/>
      <c r="I22" s="286"/>
    </row>
    <row r="23" spans="1:10" x14ac:dyDescent="0.25">
      <c r="A23" s="30"/>
      <c r="B23" s="65" t="s">
        <v>31</v>
      </c>
      <c r="C23" s="66" t="s">
        <v>32</v>
      </c>
      <c r="D23" s="65"/>
      <c r="E23" s="36"/>
      <c r="F23" s="31"/>
    </row>
    <row r="24" spans="1:10" x14ac:dyDescent="0.25">
      <c r="A24" s="30"/>
      <c r="B24" s="182" t="s">
        <v>34</v>
      </c>
      <c r="C24" s="181">
        <f>Listas!I3</f>
        <v>7.73</v>
      </c>
      <c r="D24" s="183" t="s">
        <v>35</v>
      </c>
      <c r="E24" s="36"/>
      <c r="F24" s="31"/>
    </row>
    <row r="25" spans="1:10" x14ac:dyDescent="0.25">
      <c r="A25" s="30"/>
      <c r="B25" s="5"/>
      <c r="C25" s="184">
        <f>Listas!I12</f>
        <v>1.92</v>
      </c>
      <c r="D25" s="184" t="s">
        <v>235</v>
      </c>
      <c r="F25" s="31"/>
    </row>
    <row r="26" spans="1:10" ht="15.75" thickBot="1" x14ac:dyDescent="0.3">
      <c r="A26" s="48"/>
      <c r="F26" s="50"/>
    </row>
    <row r="27" spans="1:10" ht="15.75" thickTop="1" x14ac:dyDescent="0.25">
      <c r="B27" s="27"/>
      <c r="C27" s="27"/>
      <c r="D27" s="27"/>
      <c r="E27" s="27"/>
      <c r="F27" s="32"/>
    </row>
  </sheetData>
  <mergeCells count="5">
    <mergeCell ref="B5:C5"/>
    <mergeCell ref="D5:E5"/>
    <mergeCell ref="B2:E2"/>
    <mergeCell ref="B4:C4"/>
    <mergeCell ref="B7:C7"/>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5"/>
  </sheetPr>
  <dimension ref="A1:I45"/>
  <sheetViews>
    <sheetView showGridLines="0" workbookViewId="0">
      <selection activeCell="G11" sqref="G11"/>
    </sheetView>
  </sheetViews>
  <sheetFormatPr baseColWidth="10" defaultRowHeight="15" x14ac:dyDescent="0.25"/>
  <cols>
    <col min="1" max="1" width="3.5703125" style="33" customWidth="1"/>
    <col min="2" max="2" width="15.5703125" style="33" customWidth="1"/>
    <col min="3" max="3" width="13.140625" style="33" customWidth="1"/>
    <col min="4" max="4" width="22.42578125" style="33" customWidth="1"/>
    <col min="5" max="5" width="20.85546875" style="33" customWidth="1"/>
    <col min="6" max="6" width="3.7109375" style="33" customWidth="1"/>
    <col min="7" max="8" width="11.42578125" style="33"/>
    <col min="9" max="9" width="13.140625" style="33" bestFit="1" customWidth="1"/>
    <col min="10" max="16384" width="11.42578125" style="33"/>
  </cols>
  <sheetData>
    <row r="1" spans="1:9" ht="16.5" thickTop="1" thickBot="1" x14ac:dyDescent="0.3">
      <c r="A1" s="24"/>
      <c r="B1" s="27"/>
      <c r="C1" s="27"/>
      <c r="D1" s="27"/>
      <c r="E1" s="27"/>
      <c r="F1" s="29"/>
    </row>
    <row r="2" spans="1:9" s="35" customFormat="1" ht="15.75" thickBot="1" x14ac:dyDescent="0.3">
      <c r="A2" s="30"/>
      <c r="B2" s="348" t="s">
        <v>69</v>
      </c>
      <c r="C2" s="349"/>
      <c r="D2" s="349"/>
      <c r="E2" s="350"/>
      <c r="F2" s="31"/>
    </row>
    <row r="3" spans="1:9" s="35" customFormat="1" x14ac:dyDescent="0.25">
      <c r="A3" s="30"/>
      <c r="B3" s="36"/>
      <c r="C3" s="36"/>
      <c r="D3" s="36"/>
      <c r="E3" s="36"/>
      <c r="F3" s="31"/>
    </row>
    <row r="4" spans="1:9" s="35" customFormat="1" ht="15.75" thickBot="1" x14ac:dyDescent="0.3">
      <c r="A4" s="30"/>
      <c r="B4" s="413" t="s">
        <v>65</v>
      </c>
      <c r="C4" s="413"/>
      <c r="D4" s="56"/>
      <c r="E4" s="57"/>
      <c r="F4" s="31"/>
    </row>
    <row r="5" spans="1:9" s="35" customFormat="1" ht="23.25" customHeight="1" thickBot="1" x14ac:dyDescent="0.3">
      <c r="A5" s="30"/>
      <c r="B5" s="409" t="s">
        <v>236</v>
      </c>
      <c r="C5" s="410"/>
      <c r="D5" s="411"/>
      <c r="E5" s="412"/>
      <c r="F5" s="31"/>
    </row>
    <row r="6" spans="1:9" s="35" customFormat="1" x14ac:dyDescent="0.25">
      <c r="A6" s="30"/>
      <c r="B6" s="36"/>
      <c r="C6" s="132"/>
      <c r="D6" s="132"/>
      <c r="E6" s="56"/>
      <c r="F6" s="31"/>
    </row>
    <row r="7" spans="1:9" x14ac:dyDescent="0.25">
      <c r="A7" s="30"/>
      <c r="B7" s="414" t="s">
        <v>2</v>
      </c>
      <c r="C7" s="414"/>
      <c r="D7" s="414"/>
      <c r="E7" s="56"/>
      <c r="F7" s="31"/>
    </row>
    <row r="8" spans="1:9" ht="39.75" customHeight="1" x14ac:dyDescent="0.25">
      <c r="A8" s="30"/>
      <c r="B8" s="60" t="s">
        <v>3</v>
      </c>
      <c r="C8" s="60" t="s">
        <v>39</v>
      </c>
      <c r="D8" s="61" t="s">
        <v>30</v>
      </c>
      <c r="E8" s="61" t="s">
        <v>11</v>
      </c>
      <c r="F8" s="31"/>
    </row>
    <row r="9" spans="1:9" ht="17.25" customHeight="1" x14ac:dyDescent="0.25">
      <c r="A9" s="30"/>
      <c r="B9" s="62" t="s">
        <v>16</v>
      </c>
      <c r="C9" s="63">
        <v>3749.9999999999995</v>
      </c>
      <c r="D9" s="180">
        <f>+C9*$C$24</f>
        <v>39900</v>
      </c>
      <c r="E9" s="147">
        <v>2437500</v>
      </c>
      <c r="F9" s="31"/>
      <c r="H9" s="286"/>
      <c r="I9" s="286"/>
    </row>
    <row r="10" spans="1:9" x14ac:dyDescent="0.25">
      <c r="A10" s="30"/>
      <c r="B10" s="62" t="s">
        <v>17</v>
      </c>
      <c r="C10" s="63">
        <v>4500</v>
      </c>
      <c r="D10" s="180">
        <f t="shared" ref="D10:D20" si="0">+C10*$C$24</f>
        <v>47880</v>
      </c>
      <c r="E10" s="147">
        <v>2925000</v>
      </c>
      <c r="F10" s="31"/>
      <c r="H10" s="286"/>
      <c r="I10" s="286"/>
    </row>
    <row r="11" spans="1:9" x14ac:dyDescent="0.25">
      <c r="A11" s="30"/>
      <c r="B11" s="62" t="s">
        <v>18</v>
      </c>
      <c r="C11" s="63">
        <v>5250</v>
      </c>
      <c r="D11" s="180">
        <f t="shared" si="0"/>
        <v>55860</v>
      </c>
      <c r="E11" s="147">
        <v>3412500</v>
      </c>
      <c r="F11" s="31"/>
      <c r="H11" s="286"/>
      <c r="I11" s="286"/>
    </row>
    <row r="12" spans="1:9" x14ac:dyDescent="0.25">
      <c r="A12" s="30"/>
      <c r="B12" s="62" t="s">
        <v>19</v>
      </c>
      <c r="C12" s="63">
        <v>6000</v>
      </c>
      <c r="D12" s="180">
        <f t="shared" si="0"/>
        <v>63840</v>
      </c>
      <c r="E12" s="147">
        <v>3900000.0000000005</v>
      </c>
      <c r="F12" s="31"/>
      <c r="H12" s="286"/>
      <c r="I12" s="286"/>
    </row>
    <row r="13" spans="1:9" x14ac:dyDescent="0.25">
      <c r="A13" s="30"/>
      <c r="B13" s="62" t="s">
        <v>20</v>
      </c>
      <c r="C13" s="63">
        <v>5250</v>
      </c>
      <c r="D13" s="180">
        <f t="shared" si="0"/>
        <v>55860</v>
      </c>
      <c r="E13" s="147">
        <v>3412500</v>
      </c>
      <c r="F13" s="31"/>
      <c r="H13" s="286"/>
      <c r="I13" s="286"/>
    </row>
    <row r="14" spans="1:9" x14ac:dyDescent="0.25">
      <c r="A14" s="30"/>
      <c r="B14" s="62" t="s">
        <v>21</v>
      </c>
      <c r="C14" s="63">
        <v>4500</v>
      </c>
      <c r="D14" s="180">
        <f t="shared" si="0"/>
        <v>47880</v>
      </c>
      <c r="E14" s="147">
        <v>2925000</v>
      </c>
      <c r="F14" s="31"/>
      <c r="H14" s="286"/>
      <c r="I14" s="286"/>
    </row>
    <row r="15" spans="1:9" x14ac:dyDescent="0.25">
      <c r="A15" s="30"/>
      <c r="B15" s="62" t="s">
        <v>22</v>
      </c>
      <c r="C15" s="63">
        <v>3749.9999999999995</v>
      </c>
      <c r="D15" s="180">
        <f t="shared" si="0"/>
        <v>39900</v>
      </c>
      <c r="E15" s="147">
        <v>2437500</v>
      </c>
      <c r="F15" s="31"/>
      <c r="H15" s="286"/>
      <c r="I15" s="286"/>
    </row>
    <row r="16" spans="1:9" x14ac:dyDescent="0.25">
      <c r="A16" s="30"/>
      <c r="B16" s="62" t="s">
        <v>23</v>
      </c>
      <c r="C16" s="63">
        <v>3000</v>
      </c>
      <c r="D16" s="180">
        <f t="shared" si="0"/>
        <v>31920</v>
      </c>
      <c r="E16" s="147">
        <v>1950000.0000000002</v>
      </c>
      <c r="F16" s="31"/>
      <c r="H16" s="286"/>
      <c r="I16" s="286"/>
    </row>
    <row r="17" spans="1:9" x14ac:dyDescent="0.25">
      <c r="A17" s="30"/>
      <c r="B17" s="62" t="s">
        <v>24</v>
      </c>
      <c r="C17" s="63">
        <v>2250</v>
      </c>
      <c r="D17" s="180">
        <f t="shared" si="0"/>
        <v>23940</v>
      </c>
      <c r="E17" s="147">
        <v>1462500</v>
      </c>
      <c r="F17" s="31"/>
      <c r="H17" s="286"/>
      <c r="I17" s="286"/>
    </row>
    <row r="18" spans="1:9" x14ac:dyDescent="0.25">
      <c r="A18" s="30"/>
      <c r="B18" s="62" t="s">
        <v>25</v>
      </c>
      <c r="C18" s="63">
        <v>1500</v>
      </c>
      <c r="D18" s="180">
        <f t="shared" si="0"/>
        <v>15960</v>
      </c>
      <c r="E18" s="147">
        <v>975000.00000000012</v>
      </c>
      <c r="F18" s="31"/>
      <c r="H18" s="286"/>
      <c r="I18" s="286"/>
    </row>
    <row r="19" spans="1:9" x14ac:dyDescent="0.25">
      <c r="A19" s="30"/>
      <c r="B19" s="62" t="s">
        <v>26</v>
      </c>
      <c r="C19" s="63">
        <v>2250</v>
      </c>
      <c r="D19" s="180">
        <f t="shared" si="0"/>
        <v>23940</v>
      </c>
      <c r="E19" s="147">
        <v>1462500</v>
      </c>
      <c r="F19" s="31"/>
      <c r="H19" s="286"/>
      <c r="I19" s="286"/>
    </row>
    <row r="20" spans="1:9" x14ac:dyDescent="0.25">
      <c r="A20" s="30"/>
      <c r="B20" s="62" t="s">
        <v>27</v>
      </c>
      <c r="C20" s="63">
        <v>3000</v>
      </c>
      <c r="D20" s="180">
        <f t="shared" si="0"/>
        <v>31920</v>
      </c>
      <c r="E20" s="147">
        <v>1950000.0000000002</v>
      </c>
      <c r="F20" s="31"/>
      <c r="H20" s="286"/>
      <c r="I20" s="286"/>
    </row>
    <row r="21" spans="1:9" x14ac:dyDescent="0.25">
      <c r="A21" s="30"/>
      <c r="B21" s="146" t="s">
        <v>28</v>
      </c>
      <c r="C21" s="144">
        <f>+SUM(C9:C20)</f>
        <v>45000</v>
      </c>
      <c r="D21" s="145">
        <f>+SUM(D9:D20)</f>
        <v>478800</v>
      </c>
      <c r="E21" s="148">
        <f>+SUM(E9:E20)</f>
        <v>29250000</v>
      </c>
      <c r="F21" s="31"/>
    </row>
    <row r="22" spans="1:9" x14ac:dyDescent="0.25">
      <c r="A22" s="30"/>
      <c r="B22" s="64"/>
      <c r="C22" s="56"/>
      <c r="D22" s="185" t="s">
        <v>369</v>
      </c>
      <c r="E22" s="186">
        <f>E21/D21</f>
        <v>61.090225563909776</v>
      </c>
      <c r="F22" s="31"/>
    </row>
    <row r="23" spans="1:9" x14ac:dyDescent="0.25">
      <c r="A23" s="30"/>
      <c r="B23" s="65" t="s">
        <v>31</v>
      </c>
      <c r="C23" s="66" t="s">
        <v>32</v>
      </c>
      <c r="F23" s="31"/>
    </row>
    <row r="24" spans="1:9" x14ac:dyDescent="0.25">
      <c r="A24" s="30"/>
      <c r="B24" s="182" t="s">
        <v>40</v>
      </c>
      <c r="C24" s="181">
        <f>Listas!I4</f>
        <v>10.64</v>
      </c>
      <c r="D24" s="183" t="s">
        <v>35</v>
      </c>
      <c r="E24" s="36"/>
      <c r="F24" s="31"/>
    </row>
    <row r="25" spans="1:9" ht="15.75" thickBot="1" x14ac:dyDescent="0.3">
      <c r="A25" s="48"/>
      <c r="B25" s="35"/>
      <c r="C25" s="35"/>
      <c r="D25" s="35"/>
      <c r="E25" s="35"/>
      <c r="F25" s="50"/>
    </row>
    <row r="26" spans="1:9" ht="15.75" thickTop="1" x14ac:dyDescent="0.25">
      <c r="B26" s="27"/>
      <c r="C26" s="27"/>
      <c r="D26" s="27"/>
      <c r="E26" s="27"/>
    </row>
    <row r="33" spans="2:3" x14ac:dyDescent="0.25">
      <c r="B33" s="1"/>
      <c r="C33" s="5"/>
    </row>
    <row r="34" spans="2:3" x14ac:dyDescent="0.25">
      <c r="B34" s="1"/>
      <c r="C34" s="5"/>
    </row>
    <row r="35" spans="2:3" x14ac:dyDescent="0.25">
      <c r="B35" s="1"/>
      <c r="C35" s="5"/>
    </row>
    <row r="36" spans="2:3" x14ac:dyDescent="0.25">
      <c r="B36" s="1"/>
      <c r="C36" s="5"/>
    </row>
    <row r="37" spans="2:3" x14ac:dyDescent="0.25">
      <c r="B37" s="1"/>
      <c r="C37" s="5"/>
    </row>
    <row r="38" spans="2:3" x14ac:dyDescent="0.25">
      <c r="B38" s="5"/>
      <c r="C38" s="7"/>
    </row>
    <row r="39" spans="2:3" x14ac:dyDescent="0.25">
      <c r="B39" s="5"/>
      <c r="C39" s="7"/>
    </row>
    <row r="40" spans="2:3" x14ac:dyDescent="0.25">
      <c r="B40" s="5"/>
      <c r="C40" s="5"/>
    </row>
    <row r="41" spans="2:3" x14ac:dyDescent="0.25">
      <c r="B41" s="5"/>
      <c r="C41" s="5"/>
    </row>
    <row r="42" spans="2:3" x14ac:dyDescent="0.25">
      <c r="B42" s="5"/>
      <c r="C42" s="5"/>
    </row>
    <row r="43" spans="2:3" x14ac:dyDescent="0.25">
      <c r="B43" s="5"/>
      <c r="C43" s="5"/>
    </row>
    <row r="44" spans="2:3" x14ac:dyDescent="0.25">
      <c r="B44" s="5"/>
      <c r="C44" s="5"/>
    </row>
    <row r="45" spans="2:3" x14ac:dyDescent="0.25">
      <c r="B45" s="5"/>
      <c r="C45" s="5"/>
    </row>
  </sheetData>
  <mergeCells count="5">
    <mergeCell ref="B2:E2"/>
    <mergeCell ref="B4:C4"/>
    <mergeCell ref="B5:C5"/>
    <mergeCell ref="D5:E5"/>
    <mergeCell ref="B7:D7"/>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theme="5"/>
  </sheetPr>
  <dimension ref="A2:U54"/>
  <sheetViews>
    <sheetView showGridLines="0" workbookViewId="0">
      <selection activeCell="G11" sqref="G11"/>
    </sheetView>
  </sheetViews>
  <sheetFormatPr baseColWidth="10" defaultRowHeight="15" x14ac:dyDescent="0.25"/>
  <cols>
    <col min="2" max="2" width="13.140625" bestFit="1" customWidth="1"/>
    <col min="3" max="3" width="16.7109375" bestFit="1" customWidth="1"/>
  </cols>
  <sheetData>
    <row r="2" spans="1:12" s="35" customFormat="1" x14ac:dyDescent="0.25">
      <c r="A2" s="122" t="s">
        <v>220</v>
      </c>
    </row>
    <row r="3" spans="1:12" s="35" customFormat="1" x14ac:dyDescent="0.25">
      <c r="E3" s="122" t="s">
        <v>325</v>
      </c>
      <c r="L3" s="122" t="s">
        <v>326</v>
      </c>
    </row>
    <row r="4" spans="1:12" s="35" customFormat="1" x14ac:dyDescent="0.25">
      <c r="B4" s="131" t="s">
        <v>241</v>
      </c>
      <c r="C4" s="131" t="s">
        <v>242</v>
      </c>
    </row>
    <row r="5" spans="1:12" s="35" customFormat="1" x14ac:dyDescent="0.25">
      <c r="A5" s="130" t="s">
        <v>33</v>
      </c>
      <c r="B5" s="149">
        <f>SUM(Electricidad!$C$24:$C$35)</f>
        <v>2543815</v>
      </c>
      <c r="C5" s="150">
        <f>Electricidad!$L$52</f>
        <v>248255967.40000001</v>
      </c>
    </row>
    <row r="6" spans="1:12" s="35" customFormat="1" x14ac:dyDescent="0.25">
      <c r="A6" s="130" t="s">
        <v>237</v>
      </c>
      <c r="B6" s="149">
        <f>'Gas Natural  '!G24</f>
        <v>48541.627436379829</v>
      </c>
      <c r="C6" s="150">
        <f>'Gas Natural  '!M24</f>
        <v>5947194.7999999989</v>
      </c>
    </row>
    <row r="7" spans="1:12" s="35" customFormat="1" x14ac:dyDescent="0.25">
      <c r="A7" s="130" t="s">
        <v>238</v>
      </c>
      <c r="B7" s="149">
        <f>'Gas Licuado '!D21</f>
        <v>34785</v>
      </c>
      <c r="C7" s="150">
        <f>'Gas Licuado '!E21</f>
        <v>3019500</v>
      </c>
    </row>
    <row r="8" spans="1:12" s="35" customFormat="1" x14ac:dyDescent="0.25">
      <c r="A8" s="130" t="s">
        <v>239</v>
      </c>
      <c r="B8" s="149">
        <f>'Diesel '!D21</f>
        <v>478800</v>
      </c>
      <c r="C8" s="150">
        <f>'Diesel '!E21</f>
        <v>29250000</v>
      </c>
    </row>
    <row r="9" spans="1:12" s="35" customFormat="1" x14ac:dyDescent="0.25">
      <c r="A9" s="130" t="s">
        <v>240</v>
      </c>
      <c r="B9" s="149">
        <v>0</v>
      </c>
      <c r="C9" s="150">
        <v>0</v>
      </c>
    </row>
    <row r="10" spans="1:12" s="35" customFormat="1" x14ac:dyDescent="0.25"/>
    <row r="11" spans="1:12" s="35" customFormat="1" x14ac:dyDescent="0.25"/>
    <row r="12" spans="1:12" s="35" customFormat="1" x14ac:dyDescent="0.25"/>
    <row r="13" spans="1:12" s="35" customFormat="1" x14ac:dyDescent="0.25"/>
    <row r="14" spans="1:12" s="35" customFormat="1" x14ac:dyDescent="0.25"/>
    <row r="15" spans="1:12" s="35" customFormat="1" x14ac:dyDescent="0.25"/>
    <row r="16" spans="1:12" s="35" customFormat="1" x14ac:dyDescent="0.25"/>
    <row r="17" spans="1:21" s="35" customFormat="1" x14ac:dyDescent="0.25"/>
    <row r="18" spans="1:21" s="35" customFormat="1" x14ac:dyDescent="0.25"/>
    <row r="19" spans="1:21" s="35" customFormat="1" x14ac:dyDescent="0.25">
      <c r="A19" s="122" t="s">
        <v>220</v>
      </c>
    </row>
    <row r="20" spans="1:21" s="166" customFormat="1" x14ac:dyDescent="0.25"/>
    <row r="21" spans="1:21" s="166" customFormat="1" x14ac:dyDescent="0.25">
      <c r="A21" s="122" t="s">
        <v>317</v>
      </c>
      <c r="G21" s="122" t="s">
        <v>318</v>
      </c>
      <c r="N21" s="122" t="s">
        <v>319</v>
      </c>
      <c r="U21" s="122" t="s">
        <v>320</v>
      </c>
    </row>
    <row r="22" spans="1:21" s="166" customFormat="1" x14ac:dyDescent="0.25"/>
    <row r="23" spans="1:21" s="166" customFormat="1" x14ac:dyDescent="0.25"/>
    <row r="24" spans="1:21" s="166" customFormat="1" x14ac:dyDescent="0.25"/>
    <row r="25" spans="1:21" s="166" customFormat="1" x14ac:dyDescent="0.25"/>
    <row r="26" spans="1:21" s="166" customFormat="1" x14ac:dyDescent="0.25"/>
    <row r="27" spans="1:21" s="166" customFormat="1" x14ac:dyDescent="0.25"/>
    <row r="28" spans="1:21" s="166" customFormat="1" x14ac:dyDescent="0.25"/>
    <row r="29" spans="1:21" s="166" customFormat="1" x14ac:dyDescent="0.25"/>
    <row r="30" spans="1:21" s="166" customFormat="1" x14ac:dyDescent="0.25"/>
    <row r="31" spans="1:21" s="166" customFormat="1" x14ac:dyDescent="0.25"/>
    <row r="32" spans="1:21" s="166" customFormat="1" x14ac:dyDescent="0.25"/>
    <row r="33" spans="1:21" s="166" customFormat="1" x14ac:dyDescent="0.25"/>
    <row r="34" spans="1:21" s="166" customFormat="1" x14ac:dyDescent="0.25"/>
    <row r="35" spans="1:21" s="166" customFormat="1" x14ac:dyDescent="0.25"/>
    <row r="36" spans="1:21" s="166" customFormat="1" x14ac:dyDescent="0.25"/>
    <row r="37" spans="1:21" s="166" customFormat="1" x14ac:dyDescent="0.25"/>
    <row r="38" spans="1:21" s="166" customFormat="1" x14ac:dyDescent="0.25">
      <c r="A38" s="122" t="s">
        <v>321</v>
      </c>
      <c r="G38" s="122" t="s">
        <v>322</v>
      </c>
      <c r="N38" s="122" t="s">
        <v>323</v>
      </c>
      <c r="U38" s="122" t="s">
        <v>324</v>
      </c>
    </row>
    <row r="39" spans="1:21" s="166" customFormat="1" x14ac:dyDescent="0.25"/>
    <row r="40" spans="1:21" s="166" customFormat="1" x14ac:dyDescent="0.25"/>
    <row r="41" spans="1:21" s="166" customFormat="1" x14ac:dyDescent="0.25"/>
    <row r="42" spans="1:21" s="166" customFormat="1" x14ac:dyDescent="0.25"/>
    <row r="43" spans="1:21" s="166" customFormat="1" x14ac:dyDescent="0.25"/>
    <row r="44" spans="1:21" s="166" customFormat="1" x14ac:dyDescent="0.25"/>
    <row r="45" spans="1:21" s="166" customFormat="1" x14ac:dyDescent="0.25"/>
    <row r="46" spans="1:21" s="166" customFormat="1" x14ac:dyDescent="0.25"/>
    <row r="47" spans="1:21" s="166" customFormat="1" x14ac:dyDescent="0.25"/>
    <row r="48" spans="1:21" s="166" customFormat="1" x14ac:dyDescent="0.25"/>
    <row r="49" s="166" customFormat="1" x14ac:dyDescent="0.25"/>
    <row r="50" s="166" customFormat="1" x14ac:dyDescent="0.25"/>
    <row r="51" s="166" customFormat="1" x14ac:dyDescent="0.25"/>
    <row r="52" s="166" customFormat="1" x14ac:dyDescent="0.25"/>
    <row r="53" s="166" customFormat="1" x14ac:dyDescent="0.25"/>
    <row r="54" s="166" customFormat="1"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12</vt:i4>
      </vt:variant>
    </vt:vector>
  </HeadingPairs>
  <TitlesOfParts>
    <vt:vector size="31" baseType="lpstr">
      <vt:lpstr>Lista de tareas</vt:lpstr>
      <vt:lpstr>Resumen consumos y usos</vt:lpstr>
      <vt:lpstr>Medidas EE</vt:lpstr>
      <vt:lpstr>Recambio luminarias</vt:lpstr>
      <vt:lpstr>Electricidad</vt:lpstr>
      <vt:lpstr>Gas Natural  </vt:lpstr>
      <vt:lpstr>Gas Licuado </vt:lpstr>
      <vt:lpstr>Diesel </vt:lpstr>
      <vt:lpstr>Gráficos consumos</vt:lpstr>
      <vt:lpstr>Usos Electricidad</vt:lpstr>
      <vt:lpstr>Usos Gas Natural</vt:lpstr>
      <vt:lpstr>Usos Gas Licuado</vt:lpstr>
      <vt:lpstr>Usos Diesel</vt:lpstr>
      <vt:lpstr>Resumen usos</vt:lpstr>
      <vt:lpstr>Gráficos usos</vt:lpstr>
      <vt:lpstr>Curva Electricidad</vt:lpstr>
      <vt:lpstr>Listas</vt:lpstr>
      <vt:lpstr>Pendientes</vt:lpstr>
      <vt:lpstr>Hoja3</vt:lpstr>
      <vt:lpstr>AGRICULTURA_Y_PESCA</vt:lpstr>
      <vt:lpstr>ALIMENTOS_Y_BEBIDAS</vt:lpstr>
      <vt:lpstr>'Recambio luminarias'!Área_de_extracción</vt:lpstr>
      <vt:lpstr>COMERCIO</vt:lpstr>
      <vt:lpstr>'Recambio luminarias'!Criterios</vt:lpstr>
      <vt:lpstr>MADERA_CELULOSA_Y_SUBPRODUCTOS</vt:lpstr>
      <vt:lpstr>MANUFACTORA_OTROS</vt:lpstr>
      <vt:lpstr>MINERAL_METALICA_Y_NO_METALICA</vt:lpstr>
      <vt:lpstr>OTRO_SECTOR</vt:lpstr>
      <vt:lpstr>SELECCIONAR_RUBRO</vt:lpstr>
      <vt:lpstr>SERVICIOS</vt:lpstr>
      <vt:lpstr>TALLERES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Alejandro Silva Tapia</dc:creator>
  <cp:lastModifiedBy>Agencia</cp:lastModifiedBy>
  <dcterms:created xsi:type="dcterms:W3CDTF">2017-03-29T14:27:30Z</dcterms:created>
  <dcterms:modified xsi:type="dcterms:W3CDTF">2018-08-28T18:44:22Z</dcterms:modified>
</cp:coreProperties>
</file>